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utador\Desktop\LICITAÇÕES\3. EM ANDAMENTO OBRAS\LICITAÇÃO HORAS MÁQUINA nova\DOCUMENTOS INTERNOS\PLANILHAS\planilhas\"/>
    </mc:Choice>
  </mc:AlternateContent>
  <bookViews>
    <workbookView xWindow="0" yWindow="0" windowWidth="20490" windowHeight="7335" tabRatio="802" activeTab="1"/>
  </bookViews>
  <sheets>
    <sheet name="1. Coleta Domiciliar" sheetId="2" r:id="rId1"/>
    <sheet name="2.Encargos Sociais" sheetId="8" r:id="rId2"/>
    <sheet name="4.BDI" sheetId="4" r:id="rId3"/>
    <sheet name="5. Depreciação" sheetId="6" r:id="rId4"/>
  </sheets>
  <definedNames>
    <definedName name="AbaDeprec">'5. Depreciação'!$A$1</definedName>
    <definedName name="AbaRemun">#REF!</definedName>
    <definedName name="_xlnm.Print_Area" localSheetId="0">'1. Coleta Domiciliar'!$A$1:$F$122</definedName>
    <definedName name="_xlnm.Print_Area" localSheetId="1">'2.Encargos Sociais'!$A$1:$C$8</definedName>
    <definedName name="_xlnm.Print_Titles" localSheetId="0">'1. Coleta Domiciliar'!#REF!</definedName>
  </definedNames>
  <calcPr calcId="152511"/>
</workbook>
</file>

<file path=xl/calcChain.xml><?xml version="1.0" encoding="utf-8"?>
<calcChain xmlns="http://schemas.openxmlformats.org/spreadsheetml/2006/main">
  <c r="C39" i="2" l="1"/>
  <c r="C8" i="8"/>
  <c r="E103" i="2" l="1"/>
  <c r="E86" i="2"/>
  <c r="E87" i="2" l="1"/>
  <c r="E99" i="2" l="1"/>
  <c r="C101" i="2" l="1"/>
  <c r="E101" i="2" l="1"/>
  <c r="E83" i="2" l="1"/>
  <c r="E84" i="2"/>
  <c r="E85" i="2"/>
  <c r="F89" i="2" l="1"/>
  <c r="A7" i="2"/>
  <c r="C60" i="2"/>
  <c r="E100" i="2" l="1"/>
  <c r="D102" i="2" s="1"/>
  <c r="E102" i="2" s="1"/>
  <c r="C12" i="4" l="1"/>
  <c r="D45" i="2"/>
  <c r="A24" i="2"/>
  <c r="C45" i="2" l="1"/>
  <c r="C76" i="2" l="1"/>
  <c r="C75" i="2"/>
  <c r="A18" i="2" l="1"/>
  <c r="A10" i="2"/>
  <c r="C59" i="2" l="1"/>
  <c r="A17" i="2" l="1"/>
  <c r="A16" i="2"/>
  <c r="A15" i="2"/>
  <c r="A14" i="2"/>
  <c r="A13" i="2"/>
  <c r="A12" i="2"/>
  <c r="A11" i="2"/>
  <c r="A9" i="2"/>
  <c r="A8" i="2"/>
  <c r="E78" i="2"/>
  <c r="E71" i="2"/>
  <c r="E62" i="2"/>
  <c r="E46" i="2"/>
  <c r="E41" i="2"/>
  <c r="D66" i="2"/>
  <c r="C115" i="2"/>
  <c r="F6" i="4"/>
  <c r="E6" i="4"/>
  <c r="D6" i="4"/>
  <c r="E38" i="2"/>
  <c r="D39" i="2" s="1"/>
  <c r="D88" i="2"/>
  <c r="E56" i="2"/>
  <c r="A28" i="2"/>
  <c r="E98" i="2"/>
  <c r="E76" i="2"/>
  <c r="D59" i="2" l="1"/>
  <c r="E59" i="2" s="1"/>
  <c r="D60" i="2" s="1"/>
  <c r="E60" i="2" s="1"/>
  <c r="E61" i="2" s="1"/>
  <c r="F62" i="2" s="1"/>
  <c r="D75" i="2"/>
  <c r="E25" i="2"/>
  <c r="E45" i="2"/>
  <c r="F46" i="2" s="1"/>
  <c r="E66" i="2"/>
  <c r="D104" i="2" l="1"/>
  <c r="E104" i="2" s="1"/>
  <c r="F105" i="2" s="1"/>
  <c r="E75" i="2"/>
  <c r="D77" i="2" s="1"/>
  <c r="E77" i="2" s="1"/>
  <c r="F78" i="2" s="1"/>
  <c r="C68" i="2"/>
  <c r="C69" i="2" s="1"/>
  <c r="D70" i="2" s="1"/>
  <c r="E70" i="2" s="1"/>
  <c r="F71" i="2" s="1"/>
  <c r="E17" i="2" l="1"/>
  <c r="E14" i="2"/>
  <c r="E15" i="2"/>
  <c r="E9" i="2"/>
  <c r="E12" i="2"/>
  <c r="C93" i="2" l="1"/>
  <c r="E93" i="2" s="1"/>
  <c r="F94" i="2" s="1"/>
  <c r="E16" i="2" s="1"/>
  <c r="E13" i="2"/>
  <c r="F108" i="2" l="1"/>
  <c r="E10" i="2" s="1"/>
  <c r="E11" i="2"/>
  <c r="E39" i="2"/>
  <c r="E40" i="2" s="1"/>
  <c r="F41" i="2" l="1"/>
  <c r="F48" i="2" s="1"/>
  <c r="F110" i="2" s="1"/>
  <c r="E8" i="2" l="1"/>
  <c r="D115" i="2"/>
  <c r="E7" i="2"/>
  <c r="E115" i="2" l="1"/>
  <c r="F116" i="2" s="1"/>
  <c r="F118" i="2" s="1"/>
  <c r="F119" i="2" s="1"/>
  <c r="E18" i="2" l="1"/>
  <c r="E19" i="2" s="1"/>
  <c r="F7" i="2" s="1"/>
  <c r="F9" i="2" l="1"/>
  <c r="F10" i="2"/>
  <c r="F17" i="2"/>
  <c r="F8" i="2"/>
  <c r="F15" i="2"/>
  <c r="F11" i="2"/>
  <c r="F16" i="2"/>
  <c r="F13" i="2"/>
  <c r="F12" i="2"/>
  <c r="F14" i="2"/>
  <c r="F18" i="2"/>
  <c r="F19" i="2" s="1"/>
</calcChain>
</file>

<file path=xl/comments1.xml><?xml version="1.0" encoding="utf-8"?>
<comments xmlns="http://schemas.openxmlformats.org/spreadsheetml/2006/main">
  <authors>
    <author>Clauber Bridi</author>
  </authors>
  <commentList>
    <comment ref="A5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39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4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45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5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5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5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5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1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67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6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C83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83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84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84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85" authorId="0" shape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85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86" authorId="0" shape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86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87" authorId="0" shape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87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93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98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98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00" authorId="0" shape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102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15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<sst xmlns="http://schemas.openxmlformats.org/spreadsheetml/2006/main" count="192" uniqueCount="117">
  <si>
    <t>%</t>
  </si>
  <si>
    <t>Encargos Sociais</t>
  </si>
  <si>
    <t>Total do Efetivo</t>
  </si>
  <si>
    <t>homem</t>
  </si>
  <si>
    <t>mês</t>
  </si>
  <si>
    <t>unidade</t>
  </si>
  <si>
    <t>IPVA</t>
  </si>
  <si>
    <t>Custo de óleo diesel / km rodado</t>
  </si>
  <si>
    <t>km/l</t>
  </si>
  <si>
    <t>km</t>
  </si>
  <si>
    <t>l/1.000 km</t>
  </si>
  <si>
    <t>km/jogo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</si>
  <si>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</si>
  <si>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</si>
  <si>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</si>
  <si>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</si>
  <si>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</si>
  <si>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</si>
  <si>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</si>
  <si>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</si>
  <si>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</si>
  <si>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Veículos e Equipamentos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</si>
  <si>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</si>
  <si>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</si>
  <si>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</si>
  <si>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</si>
  <si>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</si>
  <si>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Custo de recapagem</t>
  </si>
  <si>
    <t>Administração Central</t>
  </si>
  <si>
    <t>AC</t>
  </si>
  <si>
    <t>Seguros/Riscos/Garantias</t>
  </si>
  <si>
    <t>SRG</t>
  </si>
  <si>
    <t>Lucro</t>
  </si>
  <si>
    <t>L</t>
  </si>
  <si>
    <t>Tributos - ISS</t>
  </si>
  <si>
    <t>T</t>
  </si>
  <si>
    <t>Tributos - PIS/COFINS</t>
  </si>
  <si>
    <t>Fórmula para o cálculo do BDI:</t>
  </si>
  <si>
    <t>Resultado do cálculo do BDI:</t>
  </si>
  <si>
    <t>Quantitativos</t>
  </si>
  <si>
    <t>Vida útil do chassis</t>
  </si>
  <si>
    <t>anos</t>
  </si>
  <si>
    <t>Depreciação do chassis</t>
  </si>
  <si>
    <t>Custo de aquisição do chassis</t>
  </si>
  <si>
    <t>Custo do chassis</t>
  </si>
  <si>
    <t>Investimento médio total do chassis</t>
  </si>
  <si>
    <t>R$/km rodado</t>
  </si>
  <si>
    <t>Número de recapagens por pneu</t>
  </si>
  <si>
    <t>Código</t>
  </si>
  <si>
    <t>Descrição</t>
  </si>
  <si>
    <t>Valor</t>
  </si>
  <si>
    <t>A1</t>
  </si>
  <si>
    <t>A2</t>
  </si>
  <si>
    <t>A3</t>
  </si>
  <si>
    <t>A5</t>
  </si>
  <si>
    <t>13º salário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</si>
  <si>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</si>
  <si>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</si>
  <si>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</si>
  <si>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</si>
  <si>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</si>
  <si>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</si>
  <si>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</si>
  <si>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</si>
  <si>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Descrição do Item</t>
  </si>
  <si>
    <t>Orçamento Sintético</t>
  </si>
  <si>
    <t>Idade do veículo (ano)</t>
  </si>
  <si>
    <t>Idade do veículo</t>
  </si>
  <si>
    <t>Valor do veículo proposto (V0)</t>
  </si>
  <si>
    <t>Taxa de juros anual nominal</t>
  </si>
  <si>
    <t>Piso da categoria</t>
  </si>
  <si>
    <t>4. Composição do BDI - Benefícios e Despesas Indiretas</t>
  </si>
  <si>
    <t xml:space="preserve">2. Composição dos Encargos Sociais </t>
  </si>
  <si>
    <t>5. Depreciação Referencial TCE/RS (%)</t>
  </si>
  <si>
    <t>Custo unitário</t>
  </si>
  <si>
    <t>Custo de óleo do motor /1.000 km rodados</t>
  </si>
  <si>
    <t>Custo de óleo da transmissão /1.000 km</t>
  </si>
  <si>
    <t>Custo de óleo hidráulico / 1.000 km</t>
  </si>
  <si>
    <t>Referência estudo TCE</t>
  </si>
  <si>
    <t>Custo com consumos/km rodado</t>
  </si>
  <si>
    <t>Consumo</t>
  </si>
  <si>
    <t>Total da frota</t>
  </si>
  <si>
    <t>Depreciação Média</t>
  </si>
  <si>
    <t>1. HORAS MÁQUINA</t>
  </si>
  <si>
    <t>1.1. Motorista</t>
  </si>
  <si>
    <t>2. Veículos e Equipamentos</t>
  </si>
  <si>
    <t>2.1. Veículo</t>
  </si>
  <si>
    <t>2.1.1. Depreciação</t>
  </si>
  <si>
    <t>2.1.2. Remuneração do Capital</t>
  </si>
  <si>
    <t>2.1.3. Impostos e Seguros</t>
  </si>
  <si>
    <t>2.1.4. Consumos</t>
  </si>
  <si>
    <t>2.1.5. Manutenção</t>
  </si>
  <si>
    <t>2.1.6. Pneus</t>
  </si>
  <si>
    <t>3. Benefícios e Despesas Indiretas - BDI</t>
  </si>
  <si>
    <t>Custo de graxa</t>
  </si>
  <si>
    <t>kg/1.000 km</t>
  </si>
  <si>
    <t>Custo do jogo de pneus dianteiro</t>
  </si>
  <si>
    <t>1. Mão-de-obra HORA</t>
  </si>
  <si>
    <t>PREÇO TOTAL POR HORA</t>
  </si>
  <si>
    <r>
      <t xml:space="preserve">Custo jg. compl. + </t>
    </r>
    <r>
      <rPr>
        <sz val="10"/>
        <rFont val="Arial"/>
        <family val="2"/>
      </rPr>
      <t>recap./ km rodado</t>
    </r>
  </si>
  <si>
    <t>Custo com Veículos e Equipamentos/hora</t>
  </si>
  <si>
    <t>CUSTO TOTAL COM DESPESAS OPERACIONAIS (hora)</t>
  </si>
  <si>
    <t>CUSTO BDI (HORA)</t>
  </si>
  <si>
    <t>PREÇO HORA MÁQUINA</t>
  </si>
  <si>
    <t xml:space="preserve">Custo de manutenção </t>
  </si>
  <si>
    <t>Custo do jogo de pneus traseiro</t>
  </si>
  <si>
    <t>Custo facas roçadeira</t>
  </si>
  <si>
    <t>Férias</t>
  </si>
  <si>
    <t>(A2+A5)*28%</t>
  </si>
  <si>
    <t>Encargos s/férias e 13 salário</t>
  </si>
  <si>
    <t>Custo por hora com Mão-de-obra</t>
  </si>
  <si>
    <t>Depreciação do veículo</t>
  </si>
  <si>
    <t>Remuneração de capital do chassis</t>
  </si>
  <si>
    <t>Impostos e seguros</t>
  </si>
  <si>
    <t>Custo com pneus</t>
  </si>
  <si>
    <t>1.3. Auxílio Alimentação</t>
  </si>
  <si>
    <t>ITEM 8. TRATOR ROÇADEIRA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</si>
</sst>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</numFmts>
  <fonts count="2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21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4" fillId="0" borderId="0" xfId="3" applyFont="1" applyAlignment="1">
      <alignment vertical="center"/>
    </xf>
    <xf numFmtId="165" fontId="0" fillId="0" borderId="9" xfId="3" applyFont="1" applyBorder="1" applyAlignment="1">
      <alignment vertical="center"/>
    </xf>
    <xf numFmtId="165" fontId="3" fillId="0" borderId="10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8" xfId="0" applyNumberFormat="1" applyBorder="1" applyAlignment="1">
      <alignment vertical="center"/>
    </xf>
    <xf numFmtId="4" fontId="0" fillId="0" borderId="8" xfId="0" applyNumberFormat="1" applyBorder="1" applyAlignment="1">
      <alignment horizontal="centerContinuous" vertical="center"/>
    </xf>
    <xf numFmtId="165" fontId="0" fillId="0" borderId="8" xfId="3" applyFont="1" applyBorder="1" applyAlignment="1">
      <alignment vertical="center"/>
    </xf>
    <xf numFmtId="165" fontId="3" fillId="0" borderId="11" xfId="3" applyFont="1" applyBorder="1" applyAlignment="1">
      <alignment horizontal="right" vertical="center"/>
    </xf>
    <xf numFmtId="165" fontId="0" fillId="0" borderId="12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165" fontId="10" fillId="2" borderId="15" xfId="3" applyFont="1" applyFill="1" applyBorder="1" applyAlignment="1">
      <alignment horizontal="center" vertical="center"/>
    </xf>
    <xf numFmtId="165" fontId="10" fillId="2" borderId="16" xfId="3" applyFont="1" applyFill="1" applyBorder="1" applyAlignment="1">
      <alignment horizontal="center" vertical="center"/>
    </xf>
    <xf numFmtId="165" fontId="3" fillId="0" borderId="17" xfId="3" applyFont="1" applyBorder="1" applyAlignment="1">
      <alignment horizontal="center" vertical="center"/>
    </xf>
    <xf numFmtId="165" fontId="1" fillId="0" borderId="12" xfId="3" applyFont="1" applyBorder="1" applyAlignment="1">
      <alignment horizontal="left" vertical="center"/>
    </xf>
    <xf numFmtId="165" fontId="6" fillId="0" borderId="8" xfId="3" applyFont="1" applyBorder="1" applyAlignment="1">
      <alignment vertical="center"/>
    </xf>
    <xf numFmtId="165" fontId="6" fillId="0" borderId="12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8" xfId="3" applyNumberFormat="1" applyFont="1" applyBorder="1" applyAlignment="1">
      <alignment horizontal="center" vertical="center"/>
    </xf>
    <xf numFmtId="165" fontId="3" fillId="0" borderId="26" xfId="3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7" xfId="0" applyBorder="1" applyAlignment="1">
      <alignment vertical="center"/>
    </xf>
    <xf numFmtId="1" fontId="3" fillId="0" borderId="29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165" fontId="10" fillId="2" borderId="31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4" fontId="3" fillId="0" borderId="32" xfId="0" applyNumberFormat="1" applyFont="1" applyBorder="1" applyAlignment="1">
      <alignment vertical="center"/>
    </xf>
    <xf numFmtId="165" fontId="3" fillId="0" borderId="33" xfId="3" applyFont="1" applyBorder="1" applyAlignment="1">
      <alignment vertical="center"/>
    </xf>
    <xf numFmtId="165" fontId="3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2" xfId="3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165" fontId="3" fillId="0" borderId="8" xfId="3" applyFont="1" applyBorder="1" applyAlignment="1">
      <alignment vertical="center"/>
    </xf>
    <xf numFmtId="10" fontId="3" fillId="0" borderId="13" xfId="2" applyNumberFormat="1" applyFont="1" applyBorder="1" applyAlignment="1">
      <alignment vertical="center"/>
    </xf>
    <xf numFmtId="165" fontId="3" fillId="0" borderId="36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7" xfId="3" applyFont="1" applyBorder="1" applyAlignment="1">
      <alignment vertical="center"/>
    </xf>
    <xf numFmtId="165" fontId="6" fillId="0" borderId="38" xfId="3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1" fontId="6" fillId="0" borderId="35" xfId="3" applyNumberFormat="1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4" fontId="3" fillId="0" borderId="8" xfId="0" applyNumberFormat="1" applyFont="1" applyBorder="1" applyAlignment="1">
      <alignment horizontal="centerContinuous" vertical="center"/>
    </xf>
    <xf numFmtId="165" fontId="6" fillId="5" borderId="1" xfId="3" applyFont="1" applyFill="1" applyBorder="1" applyAlignment="1">
      <alignment horizontal="center" vertical="center"/>
    </xf>
    <xf numFmtId="9" fontId="3" fillId="0" borderId="16" xfId="2" applyFont="1" applyBorder="1" applyAlignment="1">
      <alignment vertical="center"/>
    </xf>
    <xf numFmtId="10" fontId="6" fillId="0" borderId="13" xfId="2" applyNumberFormat="1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7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6" fillId="0" borderId="0" xfId="0" applyFont="1" applyBorder="1"/>
    <xf numFmtId="2" fontId="15" fillId="6" borderId="1" xfId="0" applyNumberFormat="1" applyFont="1" applyFill="1" applyBorder="1" applyAlignment="1">
      <alignment horizontal="right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2" fontId="15" fillId="6" borderId="34" xfId="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10" fontId="15" fillId="0" borderId="0" xfId="0" applyNumberFormat="1" applyFont="1" applyBorder="1" applyAlignment="1">
      <alignment horizontal="right" vertical="center"/>
    </xf>
    <xf numFmtId="0" fontId="17" fillId="0" borderId="0" xfId="0" applyFont="1" applyBorder="1" applyAlignment="1">
      <alignment horizontal="justify" vertical="center"/>
    </xf>
    <xf numFmtId="0" fontId="18" fillId="0" borderId="0" xfId="0" applyFont="1" applyBorder="1"/>
    <xf numFmtId="0" fontId="8" fillId="0" borderId="0" xfId="1" applyFont="1" applyBorder="1" applyAlignment="1" applyProtection="1">
      <alignment vertical="center"/>
    </xf>
    <xf numFmtId="0" fontId="5" fillId="0" borderId="21" xfId="0" applyFont="1" applyBorder="1"/>
    <xf numFmtId="0" fontId="5" fillId="0" borderId="36" xfId="0" applyFont="1" applyBorder="1"/>
    <xf numFmtId="0" fontId="7" fillId="0" borderId="36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1" xfId="2" applyFont="1" applyBorder="1"/>
    <xf numFmtId="9" fontId="5" fillId="0" borderId="1" xfId="2" applyFont="1" applyBorder="1" applyAlignment="1">
      <alignment horizontal="center"/>
    </xf>
    <xf numFmtId="9" fontId="5" fillId="0" borderId="18" xfId="2" applyFont="1" applyBorder="1"/>
    <xf numFmtId="0" fontId="5" fillId="0" borderId="19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10" fontId="5" fillId="3" borderId="10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3" borderId="18" xfId="0" applyNumberFormat="1" applyFont="1" applyFill="1" applyBorder="1" applyAlignment="1">
      <alignment horizontal="center" vertical="center"/>
    </xf>
    <xf numFmtId="0" fontId="5" fillId="0" borderId="18" xfId="0" applyFont="1" applyBorder="1"/>
    <xf numFmtId="0" fontId="5" fillId="0" borderId="22" xfId="0" applyFont="1" applyFill="1" applyBorder="1" applyAlignment="1">
      <alignment horizontal="left" vertical="center"/>
    </xf>
    <xf numFmtId="10" fontId="5" fillId="3" borderId="3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3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10" fontId="5" fillId="0" borderId="25" xfId="0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vertical="center"/>
    </xf>
    <xf numFmtId="0" fontId="7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/>
    </xf>
    <xf numFmtId="10" fontId="7" fillId="4" borderId="7" xfId="0" applyNumberFormat="1" applyFont="1" applyFill="1" applyBorder="1" applyAlignment="1">
      <alignment horizontal="center" vertical="center" wrapText="1"/>
    </xf>
    <xf numFmtId="10" fontId="5" fillId="0" borderId="21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18" xfId="2" applyNumberFormat="1" applyFont="1" applyBorder="1" applyAlignment="1">
      <alignment horizontal="right"/>
    </xf>
    <xf numFmtId="10" fontId="5" fillId="0" borderId="22" xfId="2" applyNumberFormat="1" applyFont="1" applyBorder="1" applyAlignment="1">
      <alignment horizontal="right"/>
    </xf>
    <xf numFmtId="10" fontId="5" fillId="0" borderId="34" xfId="2" applyNumberFormat="1" applyFont="1" applyBorder="1" applyAlignment="1">
      <alignment horizontal="right"/>
    </xf>
    <xf numFmtId="10" fontId="5" fillId="0" borderId="35" xfId="2" applyNumberFormat="1" applyFont="1" applyBorder="1" applyAlignment="1">
      <alignment horizontal="right"/>
    </xf>
    <xf numFmtId="1" fontId="6" fillId="0" borderId="0" xfId="3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4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44" xfId="0" applyFont="1" applyBorder="1" applyAlignment="1">
      <alignment vertical="center"/>
    </xf>
    <xf numFmtId="0" fontId="3" fillId="0" borderId="44" xfId="0" applyFont="1" applyBorder="1" applyAlignment="1">
      <alignment horizontal="center" vertical="center"/>
    </xf>
    <xf numFmtId="165" fontId="3" fillId="0" borderId="44" xfId="3" applyFont="1" applyBorder="1" applyAlignment="1">
      <alignment horizontal="center" vertical="center"/>
    </xf>
    <xf numFmtId="165" fontId="3" fillId="0" borderId="44" xfId="3" applyFont="1" applyFill="1" applyBorder="1" applyAlignment="1">
      <alignment horizontal="center" vertical="center"/>
    </xf>
    <xf numFmtId="0" fontId="5" fillId="0" borderId="21" xfId="0" applyFont="1" applyBorder="1" applyAlignment="1">
      <alignment horizontal="right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36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2" xfId="3" applyNumberFormat="1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10" fontId="20" fillId="0" borderId="18" xfId="0" applyNumberFormat="1" applyFont="1" applyBorder="1" applyAlignment="1">
      <alignment horizontal="right" vertical="center"/>
    </xf>
    <xf numFmtId="0" fontId="20" fillId="0" borderId="22" xfId="0" applyFont="1" applyBorder="1" applyAlignment="1">
      <alignment horizontal="left" vertical="center"/>
    </xf>
    <xf numFmtId="0" fontId="21" fillId="0" borderId="34" xfId="0" applyFont="1" applyBorder="1" applyAlignment="1">
      <alignment horizontal="left" vertical="center"/>
    </xf>
    <xf numFmtId="10" fontId="21" fillId="0" borderId="35" xfId="0" applyNumberFormat="1" applyFont="1" applyBorder="1" applyAlignment="1">
      <alignment horizontal="right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0" fontId="14" fillId="7" borderId="24" xfId="0" applyFont="1" applyFill="1" applyBorder="1" applyAlignment="1">
      <alignment horizontal="center" vertical="center"/>
    </xf>
    <xf numFmtId="0" fontId="14" fillId="7" borderId="25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/>
    </xf>
    <xf numFmtId="0" fontId="7" fillId="7" borderId="40" xfId="0" applyFont="1" applyFill="1" applyBorder="1" applyAlignment="1">
      <alignment horizontal="center" vertical="center"/>
    </xf>
    <xf numFmtId="0" fontId="7" fillId="7" borderId="43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1" xfId="3" applyFont="1" applyBorder="1" applyAlignment="1">
      <alignment horizontal="center" vertical="center"/>
    </xf>
    <xf numFmtId="165" fontId="4" fillId="7" borderId="5" xfId="3" applyFont="1" applyFill="1" applyBorder="1" applyAlignment="1">
      <alignment horizontal="center" vertical="center"/>
    </xf>
    <xf numFmtId="165" fontId="4" fillId="7" borderId="6" xfId="3" applyFont="1" applyFill="1" applyBorder="1" applyAlignment="1">
      <alignment horizontal="center" vertical="center"/>
    </xf>
    <xf numFmtId="165" fontId="4" fillId="7" borderId="7" xfId="3" applyFont="1" applyFill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9" fontId="7" fillId="0" borderId="19" xfId="2" applyFont="1" applyBorder="1" applyAlignment="1">
      <alignment horizontal="center"/>
    </xf>
    <xf numFmtId="9" fontId="7" fillId="0" borderId="20" xfId="2" applyFont="1" applyBorder="1" applyAlignment="1">
      <alignment horizontal="center"/>
    </xf>
    <xf numFmtId="9" fontId="7" fillId="0" borderId="10" xfId="2" applyFont="1" applyBorder="1" applyAlignment="1">
      <alignment horizontal="center"/>
    </xf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52"/>
  <sheetViews>
    <sheetView view="pageBreakPreview" topLeftCell="A76" zoomScaleNormal="100" zoomScaleSheetLayoutView="100" workbookViewId="0">
      <selection activeCell="C84" sqref="C84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1.8554687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8.140625" style="8" customWidth="1"/>
    <col min="8" max="8" width="9.140625" style="7"/>
    <col min="9" max="9" width="14.5703125" style="7" customWidth="1"/>
    <col min="10" max="10" width="13.42578125" style="7" customWidth="1"/>
    <col min="11" max="16384" width="9.140625" style="7"/>
  </cols>
  <sheetData>
    <row r="1" spans="1:7" s="2" customFormat="1" ht="16.5" customHeight="1" thickBot="1" x14ac:dyDescent="0.25">
      <c r="A1" s="5"/>
      <c r="B1" s="3"/>
      <c r="C1" s="3"/>
      <c r="D1" s="4"/>
      <c r="E1" s="4"/>
      <c r="F1" s="4"/>
      <c r="G1" s="4"/>
    </row>
    <row r="2" spans="1:7" s="6" customFormat="1" ht="18" x14ac:dyDescent="0.2">
      <c r="A2" s="198" t="s">
        <v>83</v>
      </c>
      <c r="B2" s="199"/>
      <c r="C2" s="199"/>
      <c r="D2" s="199"/>
      <c r="E2" s="199"/>
      <c r="F2" s="200"/>
      <c r="G2" s="32"/>
    </row>
    <row r="3" spans="1:7" s="6" customFormat="1" ht="21.75" customHeight="1" x14ac:dyDescent="0.2">
      <c r="A3" s="201" t="s">
        <v>19</v>
      </c>
      <c r="B3" s="202"/>
      <c r="C3" s="202"/>
      <c r="D3" s="202"/>
      <c r="E3" s="202"/>
      <c r="F3" s="203"/>
      <c r="G3" s="32"/>
    </row>
    <row r="4" spans="1:7" s="2" customFormat="1" ht="10.9" customHeight="1" thickBot="1" x14ac:dyDescent="0.25">
      <c r="A4" s="184" t="s">
        <v>116</v>
      </c>
      <c r="B4" s="115"/>
      <c r="C4" s="115"/>
      <c r="D4" s="116"/>
      <c r="E4" s="116"/>
      <c r="F4" s="117"/>
      <c r="G4" s="4"/>
    </row>
    <row r="5" spans="1:7" s="2" customFormat="1" ht="15.75" customHeight="1" thickBot="1" x14ac:dyDescent="0.25">
      <c r="A5" s="207" t="s">
        <v>65</v>
      </c>
      <c r="B5" s="208"/>
      <c r="C5" s="208"/>
      <c r="D5" s="208"/>
      <c r="E5" s="208"/>
      <c r="F5" s="209"/>
      <c r="G5" s="4"/>
    </row>
    <row r="6" spans="1:7" s="2" customFormat="1" ht="15.75" customHeight="1" x14ac:dyDescent="0.2">
      <c r="A6" s="55" t="s">
        <v>64</v>
      </c>
      <c r="B6" s="34"/>
      <c r="C6" s="34"/>
      <c r="D6" s="165"/>
      <c r="E6" s="90" t="s">
        <v>14</v>
      </c>
      <c r="F6" s="35" t="s">
        <v>0</v>
      </c>
      <c r="G6" s="4"/>
    </row>
    <row r="7" spans="1:7" s="9" customFormat="1" ht="15.75" customHeight="1" x14ac:dyDescent="0.2">
      <c r="A7" s="95" t="str">
        <f>A33</f>
        <v>1. Mão-de-obra HORA</v>
      </c>
      <c r="B7" s="96"/>
      <c r="C7" s="97"/>
      <c r="D7" s="97"/>
      <c r="E7" s="162">
        <f>+F48</f>
        <v>11.696488868181818</v>
      </c>
      <c r="F7" s="98">
        <f t="shared" ref="F7:F18" si="0">IFERROR(E7/$E$19,0)</f>
        <v>3.2344057745720863E-2</v>
      </c>
      <c r="G7" s="38"/>
    </row>
    <row r="8" spans="1:7" s="2" customFormat="1" ht="15.75" customHeight="1" x14ac:dyDescent="0.2">
      <c r="A8" s="43" t="str">
        <f>A36</f>
        <v>1.1. Motorista</v>
      </c>
      <c r="B8" s="39"/>
      <c r="C8" s="41"/>
      <c r="D8" s="41"/>
      <c r="E8" s="163">
        <f>F41</f>
        <v>10.741943413636363</v>
      </c>
      <c r="F8" s="49">
        <f t="shared" si="0"/>
        <v>2.9704473024982973E-2</v>
      </c>
      <c r="G8" s="4"/>
    </row>
    <row r="9" spans="1:7" s="2" customFormat="1" ht="15.75" customHeight="1" x14ac:dyDescent="0.2">
      <c r="A9" s="43" t="str">
        <f>A43</f>
        <v>1.3. Auxílio Alimentação</v>
      </c>
      <c r="B9" s="39"/>
      <c r="C9" s="41"/>
      <c r="D9" s="41"/>
      <c r="E9" s="163">
        <f>F46</f>
        <v>0.95454545454545459</v>
      </c>
      <c r="F9" s="49">
        <f t="shared" si="0"/>
        <v>2.6395847207378908E-3</v>
      </c>
      <c r="G9" s="4"/>
    </row>
    <row r="10" spans="1:7" s="9" customFormat="1" ht="15.75" customHeight="1" x14ac:dyDescent="0.2">
      <c r="A10" s="106" t="str">
        <f>A51</f>
        <v>2. Veículos e Equipamentos</v>
      </c>
      <c r="B10" s="107"/>
      <c r="C10" s="97"/>
      <c r="D10" s="97"/>
      <c r="E10" s="162">
        <f>+F108</f>
        <v>271.99938692741665</v>
      </c>
      <c r="F10" s="98">
        <f t="shared" si="0"/>
        <v>0.7521542555829055</v>
      </c>
      <c r="G10" s="38"/>
    </row>
    <row r="11" spans="1:7" s="2" customFormat="1" ht="15.75" customHeight="1" x14ac:dyDescent="0.2">
      <c r="A11" s="56" t="str">
        <f>A52</f>
        <v>2.1. Veículo</v>
      </c>
      <c r="B11" s="40"/>
      <c r="C11" s="41"/>
      <c r="D11" s="41"/>
      <c r="E11" s="163">
        <f>SUM(E12:E17)</f>
        <v>271.99938692741665</v>
      </c>
      <c r="F11" s="110">
        <f t="shared" si="0"/>
        <v>0.7521542555829055</v>
      </c>
      <c r="G11" s="4"/>
    </row>
    <row r="12" spans="1:7" s="2" customFormat="1" ht="15.75" customHeight="1" x14ac:dyDescent="0.2">
      <c r="A12" s="56" t="str">
        <f>A54</f>
        <v>2.1.1. Depreciação</v>
      </c>
      <c r="B12" s="40"/>
      <c r="C12" s="41"/>
      <c r="D12" s="41"/>
      <c r="E12" s="163">
        <f>F62</f>
        <v>52.924607316666666</v>
      </c>
      <c r="F12" s="110">
        <f t="shared" si="0"/>
        <v>0.14635131743479879</v>
      </c>
      <c r="G12" s="4"/>
    </row>
    <row r="13" spans="1:7" s="2" customFormat="1" ht="15.75" customHeight="1" x14ac:dyDescent="0.2">
      <c r="A13" s="56" t="str">
        <f>A64</f>
        <v>2.1.2. Remuneração do Capital</v>
      </c>
      <c r="B13" s="40"/>
      <c r="C13" s="41"/>
      <c r="D13" s="41"/>
      <c r="E13" s="163">
        <f>F71</f>
        <v>41.398998480375013</v>
      </c>
      <c r="F13" s="110">
        <f t="shared" si="0"/>
        <v>0.11447979069229899</v>
      </c>
      <c r="G13" s="4"/>
    </row>
    <row r="14" spans="1:7" s="2" customFormat="1" ht="15.75" customHeight="1" x14ac:dyDescent="0.2">
      <c r="A14" s="56" t="str">
        <f>A73</f>
        <v>2.1.3. Impostos e Seguros</v>
      </c>
      <c r="B14" s="40"/>
      <c r="C14" s="41"/>
      <c r="D14" s="41"/>
      <c r="E14" s="163">
        <f>F78</f>
        <v>17.399141666666669</v>
      </c>
      <c r="F14" s="110">
        <f t="shared" si="0"/>
        <v>4.8113485092396255E-2</v>
      </c>
      <c r="G14" s="4"/>
    </row>
    <row r="15" spans="1:7" s="2" customFormat="1" ht="15.75" customHeight="1" x14ac:dyDescent="0.2">
      <c r="A15" s="56" t="str">
        <f>A80</f>
        <v>2.1.4. Consumos</v>
      </c>
      <c r="B15" s="40"/>
      <c r="C15" s="41"/>
      <c r="D15" s="41"/>
      <c r="E15" s="163">
        <f>F89</f>
        <v>17.550056000000001</v>
      </c>
      <c r="F15" s="110">
        <f t="shared" si="0"/>
        <v>4.8530805364060743E-2</v>
      </c>
      <c r="G15" s="4"/>
    </row>
    <row r="16" spans="1:7" s="2" customFormat="1" ht="15.75" customHeight="1" x14ac:dyDescent="0.2">
      <c r="A16" s="56" t="str">
        <f>A91</f>
        <v>2.1.5. Manutenção</v>
      </c>
      <c r="B16" s="40"/>
      <c r="C16" s="41"/>
      <c r="D16" s="41"/>
      <c r="E16" s="163">
        <f>F94</f>
        <v>129.27280346370833</v>
      </c>
      <c r="F16" s="110">
        <f t="shared" si="0"/>
        <v>0.3574753985835547</v>
      </c>
      <c r="G16" s="4"/>
    </row>
    <row r="17" spans="1:7" s="2" customFormat="1" ht="15.75" customHeight="1" x14ac:dyDescent="0.2">
      <c r="A17" s="56" t="str">
        <f>A96</f>
        <v>2.1.6. Pneus</v>
      </c>
      <c r="B17" s="40"/>
      <c r="C17" s="41"/>
      <c r="D17" s="41"/>
      <c r="E17" s="163">
        <f>F105</f>
        <v>13.453779999999998</v>
      </c>
      <c r="F17" s="110">
        <f t="shared" si="0"/>
        <v>3.7203458415796108E-2</v>
      </c>
      <c r="G17" s="4"/>
    </row>
    <row r="18" spans="1:7" s="9" customFormat="1" ht="15.75" customHeight="1" thickBot="1" x14ac:dyDescent="0.25">
      <c r="A18" s="106" t="str">
        <f>A112</f>
        <v>3. Benefícios e Despesas Indiretas - BDI</v>
      </c>
      <c r="B18" s="107"/>
      <c r="C18" s="97"/>
      <c r="D18" s="97"/>
      <c r="E18" s="164">
        <f>+F118</f>
        <v>77.931257081050887</v>
      </c>
      <c r="F18" s="98">
        <f t="shared" si="0"/>
        <v>0.21550168667137365</v>
      </c>
      <c r="G18" s="38"/>
    </row>
    <row r="19" spans="1:7" s="2" customFormat="1" ht="15.75" customHeight="1" thickBot="1" x14ac:dyDescent="0.25">
      <c r="A19" s="36" t="s">
        <v>98</v>
      </c>
      <c r="B19" s="37"/>
      <c r="C19" s="24"/>
      <c r="D19" s="24"/>
      <c r="E19" s="89">
        <f>E7+E10+E18</f>
        <v>361.62713287664934</v>
      </c>
      <c r="F19" s="109">
        <f>F7+F10+F18</f>
        <v>1</v>
      </c>
      <c r="G19" s="4"/>
    </row>
    <row r="21" spans="1:7" ht="13.5" thickBot="1" x14ac:dyDescent="0.25"/>
    <row r="22" spans="1:7" s="2" customFormat="1" ht="15" customHeight="1" thickBot="1" x14ac:dyDescent="0.25">
      <c r="A22" s="207" t="s">
        <v>39</v>
      </c>
      <c r="B22" s="208"/>
      <c r="C22" s="208"/>
      <c r="D22" s="208"/>
      <c r="E22" s="209"/>
      <c r="F22" s="8"/>
      <c r="G22" s="4"/>
    </row>
    <row r="23" spans="1:7" s="2" customFormat="1" ht="15" customHeight="1" thickBot="1" x14ac:dyDescent="0.25">
      <c r="A23" s="204" t="s">
        <v>15</v>
      </c>
      <c r="B23" s="205"/>
      <c r="C23" s="205"/>
      <c r="D23" s="206"/>
      <c r="E23" s="42" t="s">
        <v>16</v>
      </c>
      <c r="F23" s="8"/>
      <c r="G23" s="4"/>
    </row>
    <row r="24" spans="1:7" s="2" customFormat="1" ht="15" customHeight="1" x14ac:dyDescent="0.2">
      <c r="A24" s="58" t="str">
        <f>+A36</f>
        <v>1.1. Motorista</v>
      </c>
      <c r="B24" s="57"/>
      <c r="C24" s="57"/>
      <c r="D24" s="63"/>
      <c r="E24" s="60">
        <v>1</v>
      </c>
      <c r="F24" s="8"/>
      <c r="G24" s="4"/>
    </row>
    <row r="25" spans="1:7" s="2" customFormat="1" ht="15" customHeight="1" thickBot="1" x14ac:dyDescent="0.25">
      <c r="A25" s="61" t="s">
        <v>22</v>
      </c>
      <c r="B25" s="62"/>
      <c r="C25" s="62"/>
      <c r="D25" s="64"/>
      <c r="E25" s="65">
        <f>SUM(E24:E24)</f>
        <v>1</v>
      </c>
      <c r="F25" s="8"/>
      <c r="G25" s="4"/>
    </row>
    <row r="26" spans="1:7" s="2" customFormat="1" ht="15" customHeight="1" thickBot="1" x14ac:dyDescent="0.25">
      <c r="A26" s="99"/>
      <c r="B26" s="100"/>
      <c r="C26" s="50"/>
      <c r="D26" s="50"/>
      <c r="E26" s="101"/>
      <c r="F26" s="8"/>
      <c r="G26" s="4"/>
    </row>
    <row r="27" spans="1:7" s="2" customFormat="1" ht="15" customHeight="1" x14ac:dyDescent="0.2">
      <c r="A27" s="196" t="s">
        <v>21</v>
      </c>
      <c r="B27" s="197"/>
      <c r="C27" s="197"/>
      <c r="D27" s="197"/>
      <c r="E27" s="42" t="s">
        <v>16</v>
      </c>
      <c r="F27" s="7"/>
      <c r="G27" s="4"/>
    </row>
    <row r="28" spans="1:7" s="2" customFormat="1" ht="15" customHeight="1" thickBot="1" x14ac:dyDescent="0.25">
      <c r="A28" s="102" t="str">
        <f>+A52</f>
        <v>2.1. Veículo</v>
      </c>
      <c r="B28" s="103"/>
      <c r="C28" s="103"/>
      <c r="D28" s="104"/>
      <c r="E28" s="105">
        <v>1</v>
      </c>
      <c r="F28" s="7"/>
      <c r="G28" s="4"/>
    </row>
    <row r="29" spans="1:7" s="2" customFormat="1" ht="15" customHeight="1" x14ac:dyDescent="0.2">
      <c r="A29" s="50"/>
      <c r="B29" s="50"/>
      <c r="C29" s="50"/>
      <c r="D29" s="46"/>
      <c r="E29" s="161"/>
      <c r="F29" s="7"/>
      <c r="G29" s="4"/>
    </row>
    <row r="30" spans="1:7" s="2" customFormat="1" ht="13.5" thickBot="1" x14ac:dyDescent="0.25">
      <c r="A30" s="50"/>
      <c r="B30" s="50"/>
      <c r="C30" s="50"/>
      <c r="D30" s="46"/>
      <c r="E30" s="59"/>
      <c r="F30" s="7"/>
      <c r="G30" s="4"/>
    </row>
    <row r="31" spans="1:7" s="9" customFormat="1" ht="15.75" customHeight="1" thickBot="1" x14ac:dyDescent="0.25">
      <c r="A31" s="166" t="s">
        <v>63</v>
      </c>
      <c r="B31" s="167">
        <v>1</v>
      </c>
      <c r="C31" s="31"/>
      <c r="D31" s="30"/>
      <c r="E31" s="118"/>
      <c r="G31" s="38"/>
    </row>
    <row r="32" spans="1:7" s="2" customFormat="1" ht="15.75" customHeight="1" x14ac:dyDescent="0.2">
      <c r="A32" s="50"/>
      <c r="B32" s="50"/>
      <c r="C32" s="50"/>
      <c r="D32" s="46"/>
      <c r="E32" s="59"/>
      <c r="F32" s="7"/>
      <c r="G32" s="4"/>
    </row>
    <row r="33" spans="1:7" ht="13.15" customHeight="1" x14ac:dyDescent="0.2">
      <c r="A33" s="9" t="s">
        <v>97</v>
      </c>
    </row>
    <row r="34" spans="1:7" ht="11.25" customHeight="1" x14ac:dyDescent="0.2"/>
    <row r="35" spans="1:7" ht="11.25" customHeight="1" x14ac:dyDescent="0.2"/>
    <row r="36" spans="1:7" ht="13.5" thickBot="1" x14ac:dyDescent="0.25">
      <c r="A36" s="5" t="s">
        <v>84</v>
      </c>
    </row>
    <row r="37" spans="1:7" s="10" customFormat="1" ht="13.15" customHeight="1" thickBot="1" x14ac:dyDescent="0.25">
      <c r="A37" s="51" t="s">
        <v>23</v>
      </c>
      <c r="B37" s="52" t="s">
        <v>24</v>
      </c>
      <c r="C37" s="52" t="s">
        <v>16</v>
      </c>
      <c r="D37" s="53" t="s">
        <v>74</v>
      </c>
      <c r="E37" s="53" t="s">
        <v>25</v>
      </c>
      <c r="F37" s="54" t="s">
        <v>26</v>
      </c>
      <c r="G37" s="8"/>
    </row>
    <row r="38" spans="1:7" x14ac:dyDescent="0.2">
      <c r="A38" s="182" t="s">
        <v>70</v>
      </c>
      <c r="B38" s="12" t="s">
        <v>4</v>
      </c>
      <c r="C38" s="12">
        <v>1</v>
      </c>
      <c r="D38" s="69">
        <v>2351</v>
      </c>
      <c r="E38" s="13">
        <f>C38*D38</f>
        <v>2351</v>
      </c>
    </row>
    <row r="39" spans="1:7" x14ac:dyDescent="0.2">
      <c r="A39" s="14" t="s">
        <v>1</v>
      </c>
      <c r="B39" s="15" t="s">
        <v>0</v>
      </c>
      <c r="C39" s="108">
        <f>'2.Encargos Sociais'!C8</f>
        <v>0.52010000000000001</v>
      </c>
      <c r="D39" s="16">
        <f>E38</f>
        <v>2351</v>
      </c>
      <c r="E39" s="16">
        <f>D39*C39/100</f>
        <v>12.227551</v>
      </c>
    </row>
    <row r="40" spans="1:7" ht="13.5" thickBot="1" x14ac:dyDescent="0.25">
      <c r="A40" s="14" t="s">
        <v>2</v>
      </c>
      <c r="B40" s="15" t="s">
        <v>3</v>
      </c>
      <c r="C40" s="68">
        <v>1</v>
      </c>
      <c r="D40" s="16"/>
      <c r="E40" s="16">
        <f>C40*(E39+E38)</f>
        <v>2363.2275509999999</v>
      </c>
    </row>
    <row r="41" spans="1:7" ht="13.5" thickBot="1" x14ac:dyDescent="0.25">
      <c r="D41" s="93" t="s">
        <v>62</v>
      </c>
      <c r="E41" s="44">
        <f>$B$31</f>
        <v>1</v>
      </c>
      <c r="F41" s="94">
        <f>(E40*E41)/220</f>
        <v>10.741943413636363</v>
      </c>
    </row>
    <row r="42" spans="1:7" ht="11.25" customHeight="1" x14ac:dyDescent="0.2">
      <c r="G42" s="7"/>
    </row>
    <row r="43" spans="1:7" ht="13.5" thickBot="1" x14ac:dyDescent="0.25">
      <c r="A43" s="5" t="s">
        <v>115</v>
      </c>
      <c r="F43" s="21"/>
      <c r="G43" s="7"/>
    </row>
    <row r="44" spans="1:7" ht="13.5" thickBot="1" x14ac:dyDescent="0.25">
      <c r="A44" s="51" t="s">
        <v>23</v>
      </c>
      <c r="B44" s="52" t="s">
        <v>24</v>
      </c>
      <c r="C44" s="52" t="s">
        <v>16</v>
      </c>
      <c r="D44" s="53" t="s">
        <v>74</v>
      </c>
      <c r="E44" s="53" t="s">
        <v>25</v>
      </c>
      <c r="F44" s="54" t="s">
        <v>26</v>
      </c>
      <c r="G44" s="7"/>
    </row>
    <row r="45" spans="1:7" ht="13.5" thickBot="1" x14ac:dyDescent="0.25">
      <c r="A45" s="183" t="s">
        <v>20</v>
      </c>
      <c r="B45" s="15" t="s">
        <v>5</v>
      </c>
      <c r="C45" s="78">
        <f>E24</f>
        <v>1</v>
      </c>
      <c r="D45" s="72">
        <f>217.07-7.07</f>
        <v>210</v>
      </c>
      <c r="E45" s="44">
        <f>C45*D45</f>
        <v>210</v>
      </c>
      <c r="F45" s="21"/>
      <c r="G45" s="7"/>
    </row>
    <row r="46" spans="1:7" ht="13.5" thickBot="1" x14ac:dyDescent="0.25">
      <c r="D46" s="93" t="s">
        <v>62</v>
      </c>
      <c r="E46" s="44">
        <f>$B$31</f>
        <v>1</v>
      </c>
      <c r="F46" s="20">
        <f>(SUM(E45:E45)*E46)/220</f>
        <v>0.95454545454545459</v>
      </c>
      <c r="G46" s="7"/>
    </row>
    <row r="47" spans="1:7" ht="13.5" thickBot="1" x14ac:dyDescent="0.25">
      <c r="G47" s="7"/>
    </row>
    <row r="48" spans="1:7" ht="13.5" thickBot="1" x14ac:dyDescent="0.25">
      <c r="A48" s="22" t="s">
        <v>110</v>
      </c>
      <c r="B48" s="23"/>
      <c r="C48" s="23"/>
      <c r="D48" s="24"/>
      <c r="E48" s="25"/>
      <c r="F48" s="20">
        <f>(F41+F46)</f>
        <v>11.696488868181818</v>
      </c>
      <c r="G48" s="7"/>
    </row>
    <row r="50" spans="1:10" ht="11.25" customHeight="1" x14ac:dyDescent="0.2">
      <c r="G50" s="7"/>
    </row>
    <row r="51" spans="1:10" x14ac:dyDescent="0.2">
      <c r="A51" s="9" t="s">
        <v>85</v>
      </c>
      <c r="G51" s="7"/>
    </row>
    <row r="52" spans="1:10" x14ac:dyDescent="0.2">
      <c r="A52" s="5" t="s">
        <v>86</v>
      </c>
      <c r="G52" s="7"/>
    </row>
    <row r="53" spans="1:10" ht="11.25" customHeight="1" x14ac:dyDescent="0.2">
      <c r="G53" s="7"/>
    </row>
    <row r="54" spans="1:10" ht="13.5" thickBot="1" x14ac:dyDescent="0.25">
      <c r="A54" s="83" t="s">
        <v>87</v>
      </c>
      <c r="G54" s="7"/>
    </row>
    <row r="55" spans="1:10" ht="13.5" thickBot="1" x14ac:dyDescent="0.25">
      <c r="A55" s="51" t="s">
        <v>23</v>
      </c>
      <c r="B55" s="52" t="s">
        <v>24</v>
      </c>
      <c r="C55" s="52" t="s">
        <v>16</v>
      </c>
      <c r="D55" s="53" t="s">
        <v>74</v>
      </c>
      <c r="E55" s="53" t="s">
        <v>25</v>
      </c>
      <c r="F55" s="54" t="s">
        <v>26</v>
      </c>
      <c r="G55" s="7"/>
    </row>
    <row r="56" spans="1:10" x14ac:dyDescent="0.2">
      <c r="A56" s="11" t="s">
        <v>43</v>
      </c>
      <c r="B56" s="12" t="s">
        <v>5</v>
      </c>
      <c r="C56" s="176">
        <v>1</v>
      </c>
      <c r="D56" s="69">
        <v>240111.64</v>
      </c>
      <c r="E56" s="13">
        <f>C56*D56</f>
        <v>240111.64</v>
      </c>
      <c r="G56" s="7"/>
    </row>
    <row r="57" spans="1:10" x14ac:dyDescent="0.2">
      <c r="A57" s="14" t="s">
        <v>40</v>
      </c>
      <c r="B57" s="15" t="s">
        <v>41</v>
      </c>
      <c r="C57" s="68">
        <v>13</v>
      </c>
      <c r="D57" s="66"/>
      <c r="E57" s="16"/>
      <c r="G57" s="7"/>
    </row>
    <row r="58" spans="1:10" x14ac:dyDescent="0.2">
      <c r="A58" s="14" t="s">
        <v>67</v>
      </c>
      <c r="B58" s="15" t="s">
        <v>41</v>
      </c>
      <c r="C58" s="68">
        <v>13</v>
      </c>
      <c r="D58" s="16"/>
      <c r="E58" s="16"/>
      <c r="F58" s="18"/>
      <c r="I58" s="67"/>
      <c r="J58" s="67"/>
    </row>
    <row r="59" spans="1:10" x14ac:dyDescent="0.2">
      <c r="A59" s="14" t="s">
        <v>42</v>
      </c>
      <c r="B59" s="15" t="s">
        <v>0</v>
      </c>
      <c r="C59" s="108">
        <f>IFERROR(VLOOKUP(C57,'5. Depreciação'!A3:B17,2,FALSE),0)</f>
        <v>68.77</v>
      </c>
      <c r="D59" s="16">
        <f>E56</f>
        <v>240111.64</v>
      </c>
      <c r="E59" s="16">
        <f>C59*D59/100</f>
        <v>165124.77482799999</v>
      </c>
    </row>
    <row r="60" spans="1:10" ht="13.5" thickBot="1" x14ac:dyDescent="0.25">
      <c r="A60" s="177" t="s">
        <v>111</v>
      </c>
      <c r="B60" s="178" t="s">
        <v>4</v>
      </c>
      <c r="C60" s="178">
        <f>C57*12</f>
        <v>156</v>
      </c>
      <c r="D60" s="179">
        <f>IF(C58&lt;=C57,E59,0)</f>
        <v>165124.77482799999</v>
      </c>
      <c r="E60" s="179">
        <f>IFERROR(D60/C60,0)</f>
        <v>1058.4921463333333</v>
      </c>
    </row>
    <row r="61" spans="1:10" ht="14.25" thickTop="1" thickBot="1" x14ac:dyDescent="0.25">
      <c r="A61" s="79" t="s">
        <v>81</v>
      </c>
      <c r="B61" s="80" t="s">
        <v>5</v>
      </c>
      <c r="C61" s="68">
        <v>1</v>
      </c>
      <c r="D61" s="81"/>
      <c r="E61" s="91">
        <f>E60</f>
        <v>1058.4921463333333</v>
      </c>
    </row>
    <row r="62" spans="1:10" ht="13.5" thickBot="1" x14ac:dyDescent="0.25">
      <c r="A62" s="175"/>
      <c r="B62" s="175"/>
      <c r="C62" s="175"/>
      <c r="D62" s="93" t="s">
        <v>62</v>
      </c>
      <c r="E62" s="44">
        <f>$B$31</f>
        <v>1</v>
      </c>
      <c r="F62" s="19">
        <f>(E61*E62)/20</f>
        <v>52.924607316666666</v>
      </c>
    </row>
    <row r="63" spans="1:10" ht="11.25" customHeight="1" x14ac:dyDescent="0.2"/>
    <row r="64" spans="1:10" ht="13.5" thickBot="1" x14ac:dyDescent="0.25">
      <c r="A64" s="83" t="s">
        <v>88</v>
      </c>
    </row>
    <row r="65" spans="1:10" ht="13.5" thickBot="1" x14ac:dyDescent="0.25">
      <c r="A65" s="85" t="s">
        <v>23</v>
      </c>
      <c r="B65" s="86" t="s">
        <v>24</v>
      </c>
      <c r="C65" s="86" t="s">
        <v>16</v>
      </c>
      <c r="D65" s="53" t="s">
        <v>74</v>
      </c>
      <c r="E65" s="87" t="s">
        <v>25</v>
      </c>
      <c r="F65" s="54" t="s">
        <v>26</v>
      </c>
      <c r="I65" s="67"/>
      <c r="J65" s="67"/>
    </row>
    <row r="66" spans="1:10" x14ac:dyDescent="0.2">
      <c r="A66" s="14" t="s">
        <v>44</v>
      </c>
      <c r="B66" s="15" t="s">
        <v>5</v>
      </c>
      <c r="C66" s="176">
        <v>1</v>
      </c>
      <c r="D66" s="66">
        <f>D56</f>
        <v>240111.64</v>
      </c>
      <c r="E66" s="16">
        <f>C66*D66</f>
        <v>240111.64</v>
      </c>
      <c r="F66" s="18"/>
      <c r="I66" s="67"/>
      <c r="J66" s="67"/>
    </row>
    <row r="67" spans="1:10" x14ac:dyDescent="0.2">
      <c r="A67" s="183" t="s">
        <v>69</v>
      </c>
      <c r="B67" s="15" t="s">
        <v>0</v>
      </c>
      <c r="C67" s="68">
        <v>13.25</v>
      </c>
      <c r="D67" s="16"/>
      <c r="E67" s="16"/>
      <c r="F67" s="18"/>
      <c r="I67" s="67"/>
      <c r="J67" s="67"/>
    </row>
    <row r="68" spans="1:10" x14ac:dyDescent="0.2">
      <c r="A68" s="14" t="s">
        <v>68</v>
      </c>
      <c r="B68" s="15" t="s">
        <v>12</v>
      </c>
      <c r="C68" s="114">
        <f>IFERROR(IF(C58&lt;=C57,E56-(C59/(100*C57)*C58)*E56,E56-E59),0)</f>
        <v>74986.86517200002</v>
      </c>
      <c r="D68" s="16"/>
      <c r="E68" s="16"/>
      <c r="F68" s="18"/>
      <c r="I68" s="67"/>
      <c r="J68" s="67"/>
    </row>
    <row r="69" spans="1:10" x14ac:dyDescent="0.2">
      <c r="A69" s="14" t="s">
        <v>45</v>
      </c>
      <c r="B69" s="15" t="s">
        <v>12</v>
      </c>
      <c r="C69" s="66">
        <f>IFERROR(IF(C58&gt;=C57,C68,((((C68)-(E56-E59))*(((C57-C58)+1)/(2*(C57-C58))))+(E56-E59))),0)</f>
        <v>74986.86517200002</v>
      </c>
      <c r="D69" s="16"/>
      <c r="E69" s="16"/>
      <c r="F69" s="18"/>
      <c r="I69" s="67"/>
      <c r="J69" s="67"/>
    </row>
    <row r="70" spans="1:10" ht="13.5" thickBot="1" x14ac:dyDescent="0.25">
      <c r="A70" s="177" t="s">
        <v>112</v>
      </c>
      <c r="B70" s="178" t="s">
        <v>12</v>
      </c>
      <c r="C70" s="178"/>
      <c r="D70" s="180">
        <f>C67*C69/12/100</f>
        <v>827.97996960750027</v>
      </c>
      <c r="E70" s="179">
        <f>D70</f>
        <v>827.97996960750027</v>
      </c>
      <c r="F70" s="18"/>
      <c r="I70" s="67"/>
      <c r="J70" s="67"/>
    </row>
    <row r="71" spans="1:10" ht="14.25" thickTop="1" thickBot="1" x14ac:dyDescent="0.25">
      <c r="C71" s="17"/>
      <c r="D71" s="93" t="s">
        <v>62</v>
      </c>
      <c r="E71" s="44">
        <f>$B$31</f>
        <v>1</v>
      </c>
      <c r="F71" s="19">
        <f>(E70*E71)/20</f>
        <v>41.398998480375013</v>
      </c>
      <c r="I71" s="67"/>
      <c r="J71" s="67"/>
    </row>
    <row r="72" spans="1:10" ht="11.25" customHeight="1" x14ac:dyDescent="0.2">
      <c r="I72" s="67"/>
      <c r="J72" s="67"/>
    </row>
    <row r="73" spans="1:10" ht="13.5" thickBot="1" x14ac:dyDescent="0.25">
      <c r="A73" s="5" t="s">
        <v>89</v>
      </c>
      <c r="I73" s="67"/>
      <c r="J73" s="67"/>
    </row>
    <row r="74" spans="1:10" ht="13.5" thickBot="1" x14ac:dyDescent="0.25">
      <c r="A74" s="51" t="s">
        <v>23</v>
      </c>
      <c r="B74" s="52" t="s">
        <v>24</v>
      </c>
      <c r="C74" s="52" t="s">
        <v>16</v>
      </c>
      <c r="D74" s="53" t="s">
        <v>74</v>
      </c>
      <c r="E74" s="53" t="s">
        <v>25</v>
      </c>
      <c r="F74" s="54" t="s">
        <v>26</v>
      </c>
      <c r="I74" s="67"/>
      <c r="J74" s="67"/>
    </row>
    <row r="75" spans="1:10" x14ac:dyDescent="0.2">
      <c r="A75" s="11" t="s">
        <v>6</v>
      </c>
      <c r="B75" s="12" t="s">
        <v>5</v>
      </c>
      <c r="C75" s="13">
        <f>C61</f>
        <v>1</v>
      </c>
      <c r="D75" s="13">
        <f>0.01*($E$56)</f>
        <v>2401.1164000000003</v>
      </c>
      <c r="E75" s="13">
        <f>C75*D75</f>
        <v>2401.1164000000003</v>
      </c>
      <c r="I75" s="67"/>
      <c r="J75" s="67"/>
    </row>
    <row r="76" spans="1:10" x14ac:dyDescent="0.2">
      <c r="A76" s="14" t="s">
        <v>61</v>
      </c>
      <c r="B76" s="15" t="s">
        <v>5</v>
      </c>
      <c r="C76" s="13">
        <f>C61</f>
        <v>1</v>
      </c>
      <c r="D76" s="70">
        <v>104.36</v>
      </c>
      <c r="E76" s="16">
        <f>C76*D76</f>
        <v>104.36</v>
      </c>
      <c r="I76" s="67"/>
      <c r="J76" s="67"/>
    </row>
    <row r="77" spans="1:10" ht="13.5" thickBot="1" x14ac:dyDescent="0.25">
      <c r="A77" s="79" t="s">
        <v>113</v>
      </c>
      <c r="B77" s="80" t="s">
        <v>4</v>
      </c>
      <c r="C77" s="80">
        <v>12</v>
      </c>
      <c r="D77" s="81">
        <f>SUM(E75:E76)</f>
        <v>2505.4764000000005</v>
      </c>
      <c r="E77" s="81">
        <f>D77/C77</f>
        <v>208.78970000000004</v>
      </c>
      <c r="I77" s="67"/>
      <c r="J77" s="67"/>
    </row>
    <row r="78" spans="1:10" ht="13.5" thickBot="1" x14ac:dyDescent="0.25">
      <c r="D78" s="93" t="s">
        <v>62</v>
      </c>
      <c r="E78" s="44">
        <f>$B$31</f>
        <v>1</v>
      </c>
      <c r="F78" s="94">
        <f>(E77*E78)/12</f>
        <v>17.399141666666669</v>
      </c>
      <c r="I78" s="67"/>
      <c r="J78" s="67"/>
    </row>
    <row r="79" spans="1:10" ht="11.25" customHeight="1" x14ac:dyDescent="0.2">
      <c r="I79" s="67"/>
      <c r="J79" s="67"/>
    </row>
    <row r="80" spans="1:10" x14ac:dyDescent="0.2">
      <c r="A80" s="5" t="s">
        <v>90</v>
      </c>
      <c r="B80" s="29"/>
      <c r="I80" s="67"/>
      <c r="J80" s="67"/>
    </row>
    <row r="81" spans="1:10" ht="13.5" thickBot="1" x14ac:dyDescent="0.25">
      <c r="B81" s="29"/>
      <c r="I81" s="67"/>
      <c r="J81" s="67"/>
    </row>
    <row r="82" spans="1:10" ht="13.5" thickBot="1" x14ac:dyDescent="0.25">
      <c r="A82" s="51" t="s">
        <v>23</v>
      </c>
      <c r="B82" s="52" t="s">
        <v>24</v>
      </c>
      <c r="C82" s="52" t="s">
        <v>80</v>
      </c>
      <c r="D82" s="53" t="s">
        <v>74</v>
      </c>
      <c r="E82" s="53" t="s">
        <v>25</v>
      </c>
      <c r="F82" s="54" t="s">
        <v>26</v>
      </c>
      <c r="I82" s="67"/>
      <c r="J82" s="67"/>
    </row>
    <row r="83" spans="1:10" x14ac:dyDescent="0.2">
      <c r="A83" s="11" t="s">
        <v>7</v>
      </c>
      <c r="B83" s="12" t="s">
        <v>8</v>
      </c>
      <c r="C83" s="74">
        <v>0.4</v>
      </c>
      <c r="D83" s="75">
        <v>6.89</v>
      </c>
      <c r="E83" s="13">
        <f>D83/C83</f>
        <v>17.224999999999998</v>
      </c>
      <c r="I83" s="67"/>
      <c r="J83" s="67"/>
    </row>
    <row r="84" spans="1:10" x14ac:dyDescent="0.2">
      <c r="A84" s="183" t="s">
        <v>75</v>
      </c>
      <c r="B84" s="15" t="s">
        <v>10</v>
      </c>
      <c r="C84" s="77">
        <v>0.8</v>
      </c>
      <c r="D84" s="70">
        <v>29.27</v>
      </c>
      <c r="E84" s="13">
        <f>(C84*D84)/1000</f>
        <v>2.3415999999999999E-2</v>
      </c>
      <c r="G84" s="88"/>
      <c r="H84" s="45"/>
      <c r="I84" s="67"/>
      <c r="J84" s="67"/>
    </row>
    <row r="85" spans="1:10" x14ac:dyDescent="0.2">
      <c r="A85" s="14" t="s">
        <v>76</v>
      </c>
      <c r="B85" s="15" t="s">
        <v>10</v>
      </c>
      <c r="C85" s="77">
        <v>1.25</v>
      </c>
      <c r="D85" s="70">
        <v>37.200000000000003</v>
      </c>
      <c r="E85" s="13">
        <f>(C85*D85)/1000</f>
        <v>4.65E-2</v>
      </c>
      <c r="G85" s="88"/>
      <c r="H85" s="45"/>
      <c r="I85" s="67"/>
      <c r="J85" s="67"/>
    </row>
    <row r="86" spans="1:10" x14ac:dyDescent="0.2">
      <c r="A86" s="14" t="s">
        <v>77</v>
      </c>
      <c r="B86" s="15" t="s">
        <v>10</v>
      </c>
      <c r="C86" s="77">
        <v>2</v>
      </c>
      <c r="D86" s="70">
        <v>41.65</v>
      </c>
      <c r="E86" s="13">
        <f>(C86*D86)/1000</f>
        <v>8.3299999999999999E-2</v>
      </c>
      <c r="G86" s="88"/>
      <c r="H86" s="45"/>
      <c r="I86" s="67"/>
      <c r="J86" s="67"/>
    </row>
    <row r="87" spans="1:10" x14ac:dyDescent="0.2">
      <c r="A87" s="183" t="s">
        <v>94</v>
      </c>
      <c r="B87" s="186" t="s">
        <v>95</v>
      </c>
      <c r="C87" s="77">
        <v>2</v>
      </c>
      <c r="D87" s="70">
        <v>42.96</v>
      </c>
      <c r="E87" s="13">
        <f>(C87*D87)/500</f>
        <v>0.17183999999999999</v>
      </c>
      <c r="G87" s="88"/>
      <c r="H87" s="45"/>
      <c r="I87" s="67"/>
      <c r="J87" s="67"/>
    </row>
    <row r="88" spans="1:10" ht="11.25" customHeight="1" thickBot="1" x14ac:dyDescent="0.25">
      <c r="A88" s="79" t="s">
        <v>79</v>
      </c>
      <c r="B88" s="80" t="s">
        <v>46</v>
      </c>
      <c r="C88" s="173"/>
      <c r="D88" s="174">
        <f>IFERROR(#REF!+#REF!+#REF!+#REF!+#REF!,0)</f>
        <v>0</v>
      </c>
      <c r="E88" s="16"/>
      <c r="I88" s="67"/>
      <c r="J88" s="67"/>
    </row>
    <row r="89" spans="1:10" ht="13.5" thickBot="1" x14ac:dyDescent="0.25">
      <c r="F89" s="19">
        <f>SUM(E83:E87)</f>
        <v>17.550056000000001</v>
      </c>
      <c r="I89" s="67"/>
      <c r="J89" s="67"/>
    </row>
    <row r="90" spans="1:10" x14ac:dyDescent="0.2">
      <c r="I90" s="67"/>
      <c r="J90" s="67"/>
    </row>
    <row r="91" spans="1:10" ht="13.5" thickBot="1" x14ac:dyDescent="0.25">
      <c r="A91" s="5" t="s">
        <v>91</v>
      </c>
      <c r="I91" s="67"/>
      <c r="J91" s="67"/>
    </row>
    <row r="92" spans="1:10" ht="13.5" thickBot="1" x14ac:dyDescent="0.25">
      <c r="A92" s="51" t="s">
        <v>23</v>
      </c>
      <c r="B92" s="52" t="s">
        <v>24</v>
      </c>
      <c r="C92" s="52" t="s">
        <v>16</v>
      </c>
      <c r="D92" s="53" t="s">
        <v>74</v>
      </c>
      <c r="E92" s="53" t="s">
        <v>25</v>
      </c>
      <c r="F92" s="54" t="s">
        <v>26</v>
      </c>
      <c r="I92" s="67"/>
      <c r="J92" s="67"/>
    </row>
    <row r="93" spans="1:10" ht="11.25" customHeight="1" thickBot="1" x14ac:dyDescent="0.25">
      <c r="A93" s="182" t="s">
        <v>104</v>
      </c>
      <c r="B93" s="12" t="s">
        <v>46</v>
      </c>
      <c r="C93" s="71">
        <f>F89+F78+F71+F62</f>
        <v>129.27280346370833</v>
      </c>
      <c r="D93" s="69">
        <v>1</v>
      </c>
      <c r="E93" s="13">
        <f>C93*D93</f>
        <v>129.27280346370833</v>
      </c>
      <c r="I93" s="67"/>
      <c r="J93" s="67"/>
    </row>
    <row r="94" spans="1:10" ht="13.5" thickBot="1" x14ac:dyDescent="0.25">
      <c r="F94" s="19">
        <f>E93</f>
        <v>129.27280346370833</v>
      </c>
      <c r="I94" s="67"/>
      <c r="J94" s="67"/>
    </row>
    <row r="95" spans="1:10" x14ac:dyDescent="0.2">
      <c r="I95" s="67"/>
      <c r="J95" s="67"/>
    </row>
    <row r="96" spans="1:10" ht="13.5" thickBot="1" x14ac:dyDescent="0.25">
      <c r="A96" s="5" t="s">
        <v>92</v>
      </c>
      <c r="I96" s="67"/>
      <c r="J96" s="67"/>
    </row>
    <row r="97" spans="1:10" ht="13.5" thickBot="1" x14ac:dyDescent="0.25">
      <c r="A97" s="51" t="s">
        <v>23</v>
      </c>
      <c r="B97" s="52" t="s">
        <v>24</v>
      </c>
      <c r="C97" s="52" t="s">
        <v>16</v>
      </c>
      <c r="D97" s="53" t="s">
        <v>74</v>
      </c>
      <c r="E97" s="53" t="s">
        <v>25</v>
      </c>
      <c r="F97" s="54" t="s">
        <v>26</v>
      </c>
      <c r="I97" s="67"/>
      <c r="J97" s="67"/>
    </row>
    <row r="98" spans="1:10" x14ac:dyDescent="0.2">
      <c r="A98" s="182" t="s">
        <v>96</v>
      </c>
      <c r="B98" s="12" t="s">
        <v>5</v>
      </c>
      <c r="C98" s="73">
        <v>2</v>
      </c>
      <c r="D98" s="69">
        <v>1473.76</v>
      </c>
      <c r="E98" s="13">
        <f>C98*D98</f>
        <v>2947.52</v>
      </c>
      <c r="I98" s="67"/>
      <c r="J98" s="67"/>
    </row>
    <row r="99" spans="1:10" x14ac:dyDescent="0.2">
      <c r="A99" s="182" t="s">
        <v>105</v>
      </c>
      <c r="B99" s="12" t="s">
        <v>5</v>
      </c>
      <c r="C99" s="73">
        <v>2</v>
      </c>
      <c r="D99" s="69">
        <v>3037.8</v>
      </c>
      <c r="E99" s="13">
        <f>C99*D99</f>
        <v>6075.6</v>
      </c>
      <c r="I99" s="67"/>
      <c r="J99" s="67"/>
    </row>
    <row r="100" spans="1:10" x14ac:dyDescent="0.2">
      <c r="A100" s="11" t="s">
        <v>47</v>
      </c>
      <c r="B100" s="12" t="s">
        <v>5</v>
      </c>
      <c r="C100" s="73">
        <v>4</v>
      </c>
      <c r="D100" s="82"/>
      <c r="E100" s="13">
        <f>C100*D100</f>
        <v>0</v>
      </c>
      <c r="I100" s="67"/>
      <c r="J100" s="67"/>
    </row>
    <row r="101" spans="1:10" x14ac:dyDescent="0.2">
      <c r="A101" s="11" t="s">
        <v>27</v>
      </c>
      <c r="B101" s="12" t="s">
        <v>5</v>
      </c>
      <c r="C101" s="188">
        <f>(C98)*C100</f>
        <v>8</v>
      </c>
      <c r="D101" s="69">
        <v>800</v>
      </c>
      <c r="E101" s="13">
        <f>C101*D101</f>
        <v>6400</v>
      </c>
      <c r="I101" s="67"/>
      <c r="J101" s="67"/>
    </row>
    <row r="102" spans="1:10" x14ac:dyDescent="0.2">
      <c r="A102" s="183" t="s">
        <v>99</v>
      </c>
      <c r="B102" s="15" t="s">
        <v>11</v>
      </c>
      <c r="C102" s="76">
        <v>4000</v>
      </c>
      <c r="D102" s="16">
        <f>SUM(E98:E101)</f>
        <v>15423.12</v>
      </c>
      <c r="E102" s="16">
        <f>IFERROR(D102/C102,"-")</f>
        <v>3.8557800000000002</v>
      </c>
      <c r="I102" s="67"/>
      <c r="J102" s="67"/>
    </row>
    <row r="103" spans="1:10" x14ac:dyDescent="0.2">
      <c r="A103" s="183" t="s">
        <v>106</v>
      </c>
      <c r="B103" s="186" t="s">
        <v>24</v>
      </c>
      <c r="C103" s="187">
        <v>1</v>
      </c>
      <c r="D103" s="16">
        <v>479.9</v>
      </c>
      <c r="E103" s="16">
        <f>(C103*D103)/50</f>
        <v>9.597999999999999</v>
      </c>
      <c r="I103" s="67"/>
      <c r="J103" s="67"/>
    </row>
    <row r="104" spans="1:10" ht="11.25" customHeight="1" thickBot="1" x14ac:dyDescent="0.25">
      <c r="A104" s="183" t="s">
        <v>114</v>
      </c>
      <c r="B104" s="15" t="s">
        <v>9</v>
      </c>
      <c r="C104" s="71">
        <v>1</v>
      </c>
      <c r="D104" s="16">
        <f>E102</f>
        <v>3.8557800000000002</v>
      </c>
      <c r="E104" s="16">
        <f>IFERROR(C104*D104,0)</f>
        <v>3.8557800000000002</v>
      </c>
      <c r="I104" s="67"/>
      <c r="J104" s="67"/>
    </row>
    <row r="105" spans="1:10" ht="11.25" customHeight="1" thickBot="1" x14ac:dyDescent="0.25">
      <c r="F105" s="19">
        <f>E104+E103</f>
        <v>13.453779999999998</v>
      </c>
      <c r="G105" s="7"/>
    </row>
    <row r="106" spans="1:10" x14ac:dyDescent="0.2">
      <c r="G106" s="7"/>
    </row>
    <row r="107" spans="1:10" ht="11.25" customHeight="1" thickBot="1" x14ac:dyDescent="0.25">
      <c r="G107" s="7"/>
    </row>
    <row r="108" spans="1:10" ht="11.25" customHeight="1" thickBot="1" x14ac:dyDescent="0.25">
      <c r="A108" s="22" t="s">
        <v>100</v>
      </c>
      <c r="B108" s="23"/>
      <c r="C108" s="23"/>
      <c r="D108" s="24"/>
      <c r="E108" s="25"/>
      <c r="F108" s="19">
        <f>+SUM(F56:F107)</f>
        <v>271.99938692741665</v>
      </c>
    </row>
    <row r="109" spans="1:10" ht="17.25" customHeight="1" thickBot="1" x14ac:dyDescent="0.25"/>
    <row r="110" spans="1:10" ht="13.5" thickBot="1" x14ac:dyDescent="0.25">
      <c r="A110" s="22" t="s">
        <v>101</v>
      </c>
      <c r="B110" s="26"/>
      <c r="C110" s="26"/>
      <c r="D110" s="27"/>
      <c r="E110" s="28"/>
      <c r="F110" s="20">
        <f>+F48+F108</f>
        <v>283.69587579559845</v>
      </c>
    </row>
    <row r="111" spans="1:10" ht="11.25" customHeight="1" x14ac:dyDescent="0.2"/>
    <row r="112" spans="1:10" x14ac:dyDescent="0.2">
      <c r="A112" s="9" t="s">
        <v>93</v>
      </c>
    </row>
    <row r="113" spans="1:6" ht="13.5" thickBot="1" x14ac:dyDescent="0.25"/>
    <row r="114" spans="1:6" ht="13.5" thickBot="1" x14ac:dyDescent="0.25">
      <c r="A114" s="51" t="s">
        <v>23</v>
      </c>
      <c r="B114" s="52" t="s">
        <v>24</v>
      </c>
      <c r="C114" s="52" t="s">
        <v>16</v>
      </c>
      <c r="D114" s="53" t="s">
        <v>74</v>
      </c>
      <c r="E114" s="53" t="s">
        <v>25</v>
      </c>
      <c r="F114" s="54" t="s">
        <v>26</v>
      </c>
    </row>
    <row r="115" spans="1:6" ht="11.25" customHeight="1" thickBot="1" x14ac:dyDescent="0.25">
      <c r="A115" s="11" t="s">
        <v>13</v>
      </c>
      <c r="B115" s="12" t="s">
        <v>0</v>
      </c>
      <c r="C115" s="108">
        <f>'4.BDI'!C12*100</f>
        <v>27.47</v>
      </c>
      <c r="D115" s="13">
        <f>+F110</f>
        <v>283.69587579559845</v>
      </c>
      <c r="E115" s="13">
        <f>C115*D115/100</f>
        <v>77.931257081050887</v>
      </c>
    </row>
    <row r="116" spans="1:6" ht="13.5" thickBot="1" x14ac:dyDescent="0.25">
      <c r="F116" s="19">
        <f>+E115</f>
        <v>77.931257081050887</v>
      </c>
    </row>
    <row r="117" spans="1:6" ht="13.5" thickBot="1" x14ac:dyDescent="0.25"/>
    <row r="118" spans="1:6" ht="11.25" customHeight="1" thickBot="1" x14ac:dyDescent="0.25">
      <c r="A118" s="22" t="s">
        <v>102</v>
      </c>
      <c r="B118" s="26"/>
      <c r="C118" s="26"/>
      <c r="D118" s="27"/>
      <c r="E118" s="28"/>
      <c r="F118" s="20">
        <f>F116</f>
        <v>77.931257081050887</v>
      </c>
    </row>
    <row r="119" spans="1:6" ht="13.5" thickBot="1" x14ac:dyDescent="0.25">
      <c r="A119" s="22" t="s">
        <v>103</v>
      </c>
      <c r="B119" s="26"/>
      <c r="C119" s="26"/>
      <c r="D119" s="27"/>
      <c r="E119" s="28"/>
      <c r="F119" s="20">
        <f>(F110+F118)</f>
        <v>361.62713287664934</v>
      </c>
    </row>
    <row r="120" spans="1:6" ht="16.149999999999999" customHeight="1" x14ac:dyDescent="0.2">
      <c r="A120" s="47"/>
      <c r="B120" s="47"/>
      <c r="C120" s="47"/>
      <c r="D120" s="48"/>
      <c r="E120" s="48"/>
      <c r="F120" s="48"/>
    </row>
    <row r="121" spans="1:6" ht="15.75" x14ac:dyDescent="0.2">
      <c r="A121" s="33"/>
      <c r="B121" s="8"/>
      <c r="C121" s="8"/>
    </row>
    <row r="122" spans="1:6" ht="15.75" x14ac:dyDescent="0.2">
      <c r="A122" s="33"/>
      <c r="B122" s="8"/>
      <c r="C122" s="8"/>
    </row>
    <row r="150" spans="4:7" ht="9" customHeight="1" x14ac:dyDescent="0.2">
      <c r="G150" s="7"/>
    </row>
    <row r="152" spans="4:7" x14ac:dyDescent="0.2">
      <c r="D152" s="7"/>
      <c r="E152" s="7"/>
      <c r="F152" s="7"/>
    </row>
  </sheetData>
  <mergeCells count="6">
    <mergeCell ref="A27:D27"/>
    <mergeCell ref="A2:F2"/>
    <mergeCell ref="A3:F3"/>
    <mergeCell ref="A23:D23"/>
    <mergeCell ref="A5:F5"/>
    <mergeCell ref="A22:E22"/>
  </mergeCells>
  <phoneticPr fontId="9" type="noConversion"/>
  <hyperlinks>
    <hyperlink ref="A64" location="AbaRemun" display="3.1.2. Remuneração do Capital"/>
    <hyperlink ref="A54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3" manualBreakCount="3">
    <brk id="32" max="5" man="1"/>
    <brk id="50" max="5" man="1"/>
    <brk id="95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zoomScaleNormal="100" workbookViewId="0">
      <selection sqref="A1:C8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19" customWidth="1"/>
    <col min="5" max="10" width="9.140625" style="1"/>
    <col min="11" max="11" width="11" style="1" bestFit="1" customWidth="1"/>
    <col min="12" max="16384" width="9.140625" style="1"/>
  </cols>
  <sheetData>
    <row r="1" spans="1:4" ht="18" x14ac:dyDescent="0.2">
      <c r="A1" s="210" t="s">
        <v>72</v>
      </c>
      <c r="B1" s="210"/>
      <c r="C1" s="210"/>
      <c r="D1" s="1"/>
    </row>
    <row r="2" spans="1:4" ht="14.25" x14ac:dyDescent="0.2">
      <c r="A2" s="189" t="s">
        <v>48</v>
      </c>
      <c r="B2" s="190" t="s">
        <v>49</v>
      </c>
      <c r="C2" s="191" t="s">
        <v>50</v>
      </c>
      <c r="D2" s="1"/>
    </row>
    <row r="3" spans="1:4" s="2" customFormat="1" ht="15.6" customHeight="1" x14ac:dyDescent="0.2">
      <c r="A3" s="189" t="s">
        <v>51</v>
      </c>
      <c r="B3" s="190" t="s">
        <v>17</v>
      </c>
      <c r="C3" s="192">
        <v>0.2</v>
      </c>
    </row>
    <row r="4" spans="1:4" s="2" customFormat="1" ht="15.6" customHeight="1" x14ac:dyDescent="0.2">
      <c r="A4" s="189" t="s">
        <v>52</v>
      </c>
      <c r="B4" s="190" t="s">
        <v>18</v>
      </c>
      <c r="C4" s="192">
        <v>0.08</v>
      </c>
    </row>
    <row r="5" spans="1:4" s="2" customFormat="1" ht="16.5" customHeight="1" x14ac:dyDescent="0.2">
      <c r="A5" s="189" t="s">
        <v>53</v>
      </c>
      <c r="B5" s="190" t="s">
        <v>107</v>
      </c>
      <c r="C5" s="192">
        <v>0.1111</v>
      </c>
    </row>
    <row r="6" spans="1:4" ht="14.25" x14ac:dyDescent="0.2">
      <c r="A6" s="189" t="s">
        <v>108</v>
      </c>
      <c r="B6" s="190" t="s">
        <v>109</v>
      </c>
      <c r="C6" s="192">
        <v>4.5699999999999998E-2</v>
      </c>
      <c r="D6" s="1"/>
    </row>
    <row r="7" spans="1:4" ht="14.25" x14ac:dyDescent="0.2">
      <c r="A7" s="189" t="s">
        <v>54</v>
      </c>
      <c r="B7" s="190" t="s">
        <v>55</v>
      </c>
      <c r="C7" s="192">
        <v>8.3299999999999999E-2</v>
      </c>
      <c r="D7" s="1"/>
    </row>
    <row r="8" spans="1:4" ht="15.75" thickBot="1" x14ac:dyDescent="0.25">
      <c r="A8" s="193"/>
      <c r="B8" s="194" t="s">
        <v>56</v>
      </c>
      <c r="C8" s="195">
        <f>SUM(C3:C7)</f>
        <v>0.52010000000000001</v>
      </c>
      <c r="D8" s="1"/>
    </row>
    <row r="9" spans="1:4" x14ac:dyDescent="0.2">
      <c r="A9" s="119"/>
      <c r="B9" s="119"/>
      <c r="C9" s="119"/>
    </row>
    <row r="10" spans="1:4" x14ac:dyDescent="0.2">
      <c r="A10" s="119"/>
      <c r="B10" s="119"/>
      <c r="C10" s="119"/>
    </row>
    <row r="11" spans="1:4" x14ac:dyDescent="0.2">
      <c r="A11" s="119"/>
      <c r="B11" s="119"/>
      <c r="C11" s="119"/>
    </row>
    <row r="12" spans="1:4" x14ac:dyDescent="0.2">
      <c r="A12" s="119"/>
      <c r="B12" s="119"/>
      <c r="C12" s="119"/>
    </row>
    <row r="13" spans="1:4" x14ac:dyDescent="0.2">
      <c r="A13" s="119"/>
      <c r="B13" s="119"/>
      <c r="C13" s="119"/>
    </row>
    <row r="14" spans="1:4" x14ac:dyDescent="0.2">
      <c r="A14" s="119"/>
      <c r="B14" s="119"/>
      <c r="C14" s="119"/>
    </row>
    <row r="15" spans="1:4" x14ac:dyDescent="0.2">
      <c r="A15" s="119"/>
      <c r="B15" s="119"/>
      <c r="C15" s="119"/>
    </row>
    <row r="16" spans="1:4" x14ac:dyDescent="0.2">
      <c r="A16" s="119"/>
      <c r="B16" s="119"/>
      <c r="C16" s="119"/>
    </row>
    <row r="17" spans="1:3" x14ac:dyDescent="0.2">
      <c r="A17" s="119"/>
      <c r="B17" s="119"/>
      <c r="C17" s="119"/>
    </row>
    <row r="18" spans="1:3" x14ac:dyDescent="0.2">
      <c r="A18" s="119"/>
      <c r="B18" s="119"/>
      <c r="C18" s="119"/>
    </row>
    <row r="19" spans="1:3" x14ac:dyDescent="0.2">
      <c r="A19" s="119"/>
      <c r="B19" s="119"/>
      <c r="C19" s="119"/>
    </row>
    <row r="20" spans="1:3" x14ac:dyDescent="0.2">
      <c r="A20" s="119"/>
      <c r="B20" s="119"/>
      <c r="C20" s="119"/>
    </row>
    <row r="21" spans="1:3" x14ac:dyDescent="0.2">
      <c r="A21" s="119"/>
      <c r="B21" s="119"/>
      <c r="C21" s="119"/>
    </row>
    <row r="22" spans="1:3" x14ac:dyDescent="0.2">
      <c r="A22" s="119"/>
      <c r="B22" s="119"/>
      <c r="C22" s="119"/>
    </row>
    <row r="23" spans="1:3" x14ac:dyDescent="0.2">
      <c r="A23" s="119"/>
      <c r="B23" s="119"/>
      <c r="C23" s="119"/>
    </row>
    <row r="24" spans="1:3" x14ac:dyDescent="0.2">
      <c r="A24" s="119"/>
      <c r="B24" s="119"/>
      <c r="C24" s="119"/>
    </row>
    <row r="25" spans="1:3" x14ac:dyDescent="0.2">
      <c r="A25" s="119"/>
      <c r="B25" s="119"/>
      <c r="C25" s="119"/>
    </row>
    <row r="26" spans="1:3" x14ac:dyDescent="0.2">
      <c r="A26" s="119"/>
      <c r="B26" s="119"/>
      <c r="C26" s="119"/>
    </row>
    <row r="27" spans="1:3" x14ac:dyDescent="0.2">
      <c r="A27" s="119"/>
      <c r="B27" s="119"/>
      <c r="C27" s="119"/>
    </row>
    <row r="28" spans="1:3" x14ac:dyDescent="0.2">
      <c r="A28" s="119"/>
      <c r="B28" s="119"/>
      <c r="C28" s="119"/>
    </row>
    <row r="29" spans="1:3" x14ac:dyDescent="0.2">
      <c r="A29" s="119"/>
      <c r="B29" s="119"/>
      <c r="C29" s="119"/>
    </row>
    <row r="30" spans="1:3" x14ac:dyDescent="0.2">
      <c r="A30" s="119"/>
      <c r="B30" s="119"/>
      <c r="C30" s="119"/>
    </row>
    <row r="31" spans="1:3" x14ac:dyDescent="0.2">
      <c r="A31" s="119"/>
      <c r="B31" s="119"/>
      <c r="C31" s="119"/>
    </row>
    <row r="32" spans="1:3" x14ac:dyDescent="0.2">
      <c r="A32" s="119"/>
      <c r="B32" s="119"/>
      <c r="C32" s="119"/>
    </row>
    <row r="33" spans="1:3" x14ac:dyDescent="0.2">
      <c r="A33" s="119"/>
      <c r="B33" s="119"/>
      <c r="C33" s="119"/>
    </row>
    <row r="34" spans="1:3" x14ac:dyDescent="0.2">
      <c r="A34" s="119"/>
      <c r="B34" s="119"/>
      <c r="C34" s="119"/>
    </row>
    <row r="35" spans="1:3" x14ac:dyDescent="0.2">
      <c r="A35" s="119"/>
      <c r="B35" s="119"/>
      <c r="C35" s="119"/>
    </row>
    <row r="36" spans="1:3" x14ac:dyDescent="0.2">
      <c r="A36" s="119"/>
      <c r="B36" s="119"/>
      <c r="C36" s="119"/>
    </row>
    <row r="37" spans="1:3" x14ac:dyDescent="0.2">
      <c r="A37" s="119"/>
      <c r="B37" s="119"/>
      <c r="C37" s="119"/>
    </row>
    <row r="38" spans="1:3" x14ac:dyDescent="0.2">
      <c r="A38" s="119"/>
      <c r="B38" s="119"/>
      <c r="C38" s="119"/>
    </row>
    <row r="39" spans="1:3" x14ac:dyDescent="0.2">
      <c r="A39" s="119"/>
      <c r="B39" s="119"/>
      <c r="C39" s="119"/>
    </row>
    <row r="40" spans="1:3" x14ac:dyDescent="0.2">
      <c r="A40" s="119"/>
      <c r="B40" s="119"/>
      <c r="C40" s="119"/>
    </row>
    <row r="41" spans="1:3" x14ac:dyDescent="0.2">
      <c r="A41" s="119"/>
      <c r="B41" s="119"/>
      <c r="C41" s="119"/>
    </row>
    <row r="42" spans="1:3" x14ac:dyDescent="0.2">
      <c r="A42" s="119"/>
      <c r="B42" s="119"/>
      <c r="C42" s="119"/>
    </row>
    <row r="43" spans="1:3" x14ac:dyDescent="0.2">
      <c r="A43" s="119"/>
      <c r="B43" s="119"/>
      <c r="C43" s="119"/>
    </row>
    <row r="44" spans="1:3" x14ac:dyDescent="0.2">
      <c r="A44" s="119"/>
      <c r="B44" s="119"/>
      <c r="C44" s="119"/>
    </row>
    <row r="45" spans="1:3" x14ac:dyDescent="0.2">
      <c r="A45" s="119"/>
      <c r="B45" s="119"/>
      <c r="C45" s="119"/>
    </row>
    <row r="46" spans="1:3" x14ac:dyDescent="0.2">
      <c r="A46" s="119"/>
      <c r="B46" s="119"/>
      <c r="C46" s="119"/>
    </row>
    <row r="47" spans="1:3" x14ac:dyDescent="0.2">
      <c r="A47" s="119"/>
      <c r="B47" s="119"/>
      <c r="C47" s="119"/>
    </row>
    <row r="48" spans="1:3" x14ac:dyDescent="0.2">
      <c r="A48" s="119"/>
      <c r="B48" s="119"/>
      <c r="C48" s="119"/>
    </row>
    <row r="49" spans="1:12" x14ac:dyDescent="0.2">
      <c r="A49" s="119"/>
      <c r="B49" s="119"/>
      <c r="C49" s="119"/>
    </row>
    <row r="50" spans="1:12" x14ac:dyDescent="0.2">
      <c r="A50" s="119"/>
      <c r="B50" s="119"/>
      <c r="C50" s="119"/>
    </row>
    <row r="51" spans="1:12" x14ac:dyDescent="0.2">
      <c r="A51" s="119"/>
      <c r="B51" s="119"/>
      <c r="C51" s="119"/>
    </row>
    <row r="52" spans="1:12" x14ac:dyDescent="0.2">
      <c r="A52" s="119"/>
      <c r="B52" s="119"/>
      <c r="C52" s="119"/>
    </row>
    <row r="53" spans="1:12" x14ac:dyDescent="0.2">
      <c r="A53" s="119"/>
      <c r="B53" s="119"/>
      <c r="C53" s="119"/>
    </row>
    <row r="54" spans="1:12" x14ac:dyDescent="0.2">
      <c r="A54" s="119"/>
      <c r="B54" s="119"/>
      <c r="C54" s="119"/>
    </row>
    <row r="55" spans="1:12" ht="14.25" x14ac:dyDescent="0.2">
      <c r="A55" s="124"/>
      <c r="B55" s="125"/>
      <c r="C55" s="127"/>
      <c r="E55" s="119"/>
      <c r="F55" s="119"/>
      <c r="G55" s="119"/>
      <c r="H55" s="119"/>
      <c r="I55" s="119"/>
      <c r="J55" s="119"/>
      <c r="K55" s="119"/>
      <c r="L55" s="119"/>
    </row>
    <row r="56" spans="1:12" ht="16.5" x14ac:dyDescent="0.2">
      <c r="A56" s="126"/>
      <c r="B56" s="119"/>
      <c r="C56" s="119"/>
      <c r="E56" s="119"/>
      <c r="F56" s="119"/>
      <c r="G56" s="119"/>
      <c r="H56" s="119"/>
      <c r="I56" s="119"/>
      <c r="J56" s="119"/>
      <c r="K56" s="119"/>
      <c r="L56" s="119"/>
    </row>
    <row r="57" spans="1:12" x14ac:dyDescent="0.2">
      <c r="A57" s="119"/>
      <c r="B57" s="119"/>
      <c r="C57" s="119"/>
      <c r="E57" s="119"/>
      <c r="F57" s="119"/>
      <c r="G57" s="119"/>
      <c r="H57" s="119"/>
      <c r="I57" s="119"/>
      <c r="J57" s="119"/>
      <c r="K57" s="119"/>
      <c r="L57" s="119"/>
    </row>
    <row r="58" spans="1:12" x14ac:dyDescent="0.2">
      <c r="A58" s="119"/>
      <c r="B58" s="119"/>
      <c r="C58" s="119"/>
      <c r="E58" s="119"/>
      <c r="F58" s="119"/>
      <c r="G58" s="119"/>
      <c r="H58" s="119"/>
      <c r="I58" s="119"/>
      <c r="J58" s="119"/>
      <c r="K58" s="119"/>
      <c r="L58" s="119"/>
    </row>
    <row r="59" spans="1:12" x14ac:dyDescent="0.2">
      <c r="A59" s="128"/>
      <c r="B59" s="119"/>
      <c r="C59" s="119"/>
      <c r="E59" s="119"/>
      <c r="F59" s="119"/>
      <c r="G59" s="119"/>
      <c r="H59" s="119"/>
      <c r="I59" s="119"/>
      <c r="J59" s="119"/>
      <c r="K59" s="119"/>
      <c r="L59" s="119"/>
    </row>
    <row r="60" spans="1:12" x14ac:dyDescent="0.2">
      <c r="A60" s="119"/>
      <c r="B60" s="119"/>
      <c r="C60" s="119"/>
      <c r="E60" s="119"/>
    </row>
    <row r="61" spans="1:12" x14ac:dyDescent="0.2">
      <c r="A61" s="119"/>
      <c r="B61" s="119"/>
      <c r="C61" s="119"/>
      <c r="E61" s="119"/>
    </row>
    <row r="62" spans="1:12" x14ac:dyDescent="0.2">
      <c r="A62" s="119"/>
      <c r="B62" s="119"/>
      <c r="C62" s="119"/>
      <c r="E62" s="119"/>
    </row>
    <row r="63" spans="1:12" x14ac:dyDescent="0.2">
      <c r="A63" s="119"/>
      <c r="B63" s="119"/>
      <c r="C63" s="119"/>
      <c r="E63" s="119"/>
    </row>
    <row r="64" spans="1:12" x14ac:dyDescent="0.2">
      <c r="A64" s="119"/>
      <c r="B64" s="119"/>
      <c r="C64" s="119"/>
      <c r="E64" s="119"/>
    </row>
    <row r="65" spans="1:5" x14ac:dyDescent="0.2">
      <c r="A65" s="119"/>
      <c r="B65" s="119"/>
      <c r="C65" s="119"/>
      <c r="E65" s="119"/>
    </row>
    <row r="66" spans="1:5" x14ac:dyDescent="0.2">
      <c r="A66" s="119"/>
      <c r="B66" s="119"/>
      <c r="C66" s="119"/>
      <c r="E66" s="119"/>
    </row>
    <row r="67" spans="1:5" x14ac:dyDescent="0.2">
      <c r="A67" s="119"/>
      <c r="B67" s="119"/>
      <c r="C67" s="119"/>
      <c r="E67" s="119"/>
    </row>
    <row r="68" spans="1:5" x14ac:dyDescent="0.2">
      <c r="A68" s="119"/>
      <c r="B68" s="119"/>
      <c r="C68" s="119"/>
      <c r="E68" s="119"/>
    </row>
  </sheetData>
  <mergeCells count="1">
    <mergeCell ref="A1:C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"/>
  <sheetViews>
    <sheetView zoomScaleNormal="100" workbookViewId="0">
      <selection activeCell="B24" sqref="B24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92" bestFit="1" customWidth="1"/>
    <col min="6" max="6" width="9.7109375" bestFit="1" customWidth="1"/>
  </cols>
  <sheetData>
    <row r="1" spans="1:8" ht="15.75" x14ac:dyDescent="0.2">
      <c r="A1" s="216" t="s">
        <v>71</v>
      </c>
      <c r="B1" s="217"/>
      <c r="C1" s="217"/>
      <c r="D1" s="217"/>
      <c r="E1" s="217"/>
      <c r="F1" s="218"/>
    </row>
    <row r="2" spans="1:8" ht="16.5" thickBot="1" x14ac:dyDescent="0.25">
      <c r="A2" s="168"/>
      <c r="B2" s="169"/>
      <c r="C2" s="169"/>
      <c r="D2" s="169"/>
      <c r="E2" s="169"/>
      <c r="F2" s="170"/>
    </row>
    <row r="3" spans="1:8" ht="15" x14ac:dyDescent="0.25">
      <c r="A3" s="131"/>
      <c r="B3" s="111"/>
      <c r="C3" s="111"/>
      <c r="D3" s="213" t="s">
        <v>78</v>
      </c>
      <c r="E3" s="214"/>
      <c r="F3" s="215"/>
      <c r="G3" s="112"/>
      <c r="H3" s="112"/>
    </row>
    <row r="4" spans="1:8" ht="15" thickBot="1" x14ac:dyDescent="0.25">
      <c r="A4" s="130"/>
      <c r="B4" s="132"/>
      <c r="C4" s="132"/>
      <c r="D4" s="133" t="s">
        <v>57</v>
      </c>
      <c r="E4" s="134" t="s">
        <v>58</v>
      </c>
      <c r="F4" s="135" t="s">
        <v>59</v>
      </c>
      <c r="G4" s="112"/>
      <c r="H4" s="112"/>
    </row>
    <row r="5" spans="1:8" ht="14.25" x14ac:dyDescent="0.2">
      <c r="A5" s="136" t="s">
        <v>28</v>
      </c>
      <c r="B5" s="137" t="s">
        <v>29</v>
      </c>
      <c r="C5" s="138">
        <v>6.2700000000000006E-2</v>
      </c>
      <c r="D5" s="155">
        <v>2.9700000000000001E-2</v>
      </c>
      <c r="E5" s="156">
        <v>5.0799999999999998E-2</v>
      </c>
      <c r="F5" s="157">
        <v>6.2700000000000006E-2</v>
      </c>
      <c r="G5" s="112"/>
      <c r="H5" s="112"/>
    </row>
    <row r="6" spans="1:8" ht="14.25" x14ac:dyDescent="0.2">
      <c r="A6" s="139" t="s">
        <v>30</v>
      </c>
      <c r="B6" s="140" t="s">
        <v>31</v>
      </c>
      <c r="C6" s="141"/>
      <c r="D6" s="155">
        <f>0.3%+0.56%</f>
        <v>8.6E-3</v>
      </c>
      <c r="E6" s="156">
        <f>0.48%+0.85%</f>
        <v>1.3299999999999999E-2</v>
      </c>
      <c r="F6" s="157">
        <f>0.82%+0.89%</f>
        <v>1.7099999999999997E-2</v>
      </c>
      <c r="G6" s="112"/>
      <c r="H6" s="112"/>
    </row>
    <row r="7" spans="1:8" ht="14.25" x14ac:dyDescent="0.2">
      <c r="A7" s="139" t="s">
        <v>32</v>
      </c>
      <c r="B7" s="140" t="s">
        <v>33</v>
      </c>
      <c r="C7" s="141">
        <v>0.13550000000000001</v>
      </c>
      <c r="D7" s="155">
        <v>7.7799999999999994E-2</v>
      </c>
      <c r="E7" s="156">
        <v>0.1085</v>
      </c>
      <c r="F7" s="157">
        <v>0.13550000000000001</v>
      </c>
      <c r="G7" s="112"/>
      <c r="H7" s="112"/>
    </row>
    <row r="8" spans="1:8" ht="14.25" x14ac:dyDescent="0.2">
      <c r="A8" s="139" t="s">
        <v>34</v>
      </c>
      <c r="B8" s="211" t="s">
        <v>35</v>
      </c>
      <c r="C8" s="141">
        <v>0.04</v>
      </c>
      <c r="D8" s="181" t="s">
        <v>60</v>
      </c>
      <c r="E8" s="185"/>
      <c r="F8" s="142"/>
      <c r="G8" s="112"/>
      <c r="H8" s="112"/>
    </row>
    <row r="9" spans="1:8" ht="15" thickBot="1" x14ac:dyDescent="0.25">
      <c r="A9" s="143" t="s">
        <v>36</v>
      </c>
      <c r="B9" s="212"/>
      <c r="C9" s="144">
        <v>3.6499999999999998E-2</v>
      </c>
      <c r="D9" s="129"/>
      <c r="E9" s="145"/>
      <c r="F9" s="142"/>
      <c r="G9" s="112"/>
      <c r="H9" s="112"/>
    </row>
    <row r="10" spans="1:8" ht="14.25" x14ac:dyDescent="0.2">
      <c r="A10" s="146" t="s">
        <v>37</v>
      </c>
      <c r="B10" s="147"/>
      <c r="C10" s="148"/>
      <c r="D10" s="129"/>
      <c r="E10" s="145"/>
      <c r="F10" s="142"/>
      <c r="G10" s="112"/>
      <c r="H10" s="112"/>
    </row>
    <row r="11" spans="1:8" ht="15" thickBot="1" x14ac:dyDescent="0.25">
      <c r="A11" s="149"/>
      <c r="B11" s="150"/>
      <c r="C11" s="151"/>
      <c r="D11" s="129"/>
      <c r="E11" s="145"/>
      <c r="F11" s="142"/>
      <c r="G11" s="112"/>
      <c r="H11" s="112"/>
    </row>
    <row r="12" spans="1:8" ht="15.75" thickBot="1" x14ac:dyDescent="0.25">
      <c r="A12" s="152" t="s">
        <v>38</v>
      </c>
      <c r="B12" s="153"/>
      <c r="C12" s="154">
        <f>ROUND((C5+C6+C7+C8+C9),4)</f>
        <v>0.2747</v>
      </c>
      <c r="D12" s="158">
        <v>0.21429999999999999</v>
      </c>
      <c r="E12" s="159">
        <v>0.2717</v>
      </c>
      <c r="F12" s="160">
        <v>0.3362</v>
      </c>
      <c r="G12" s="112"/>
      <c r="H12" s="112"/>
    </row>
    <row r="13" spans="1:8" ht="14.25" x14ac:dyDescent="0.2">
      <c r="A13" s="112"/>
      <c r="B13" s="112"/>
      <c r="C13" s="112"/>
      <c r="D13" s="112"/>
      <c r="E13" s="113"/>
      <c r="F13" s="112"/>
      <c r="G13" s="112"/>
      <c r="H13" s="112"/>
    </row>
    <row r="14" spans="1:8" ht="14.25" x14ac:dyDescent="0.2">
      <c r="A14" s="112"/>
      <c r="B14" s="112"/>
      <c r="C14" s="112"/>
      <c r="D14" s="112"/>
      <c r="E14" s="113"/>
      <c r="F14" s="112"/>
      <c r="G14" s="112"/>
      <c r="H14" s="112"/>
    </row>
    <row r="15" spans="1:8" ht="14.25" x14ac:dyDescent="0.2">
      <c r="A15" s="112"/>
      <c r="B15" s="112"/>
      <c r="C15" s="112"/>
      <c r="D15" s="112"/>
      <c r="E15" s="113"/>
      <c r="F15" s="112"/>
      <c r="G15" s="112"/>
      <c r="H15" s="112"/>
    </row>
    <row r="16" spans="1:8" ht="14.25" x14ac:dyDescent="0.2">
      <c r="A16" s="112"/>
      <c r="B16" s="112"/>
      <c r="C16" s="112"/>
      <c r="D16" s="112"/>
      <c r="E16" s="113"/>
      <c r="F16" s="112"/>
      <c r="G16" s="112"/>
      <c r="H16" s="112"/>
    </row>
  </sheetData>
  <mergeCells count="3">
    <mergeCell ref="B8:B9"/>
    <mergeCell ref="D3:F3"/>
    <mergeCell ref="A1:F1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opLeftCell="A4" workbookViewId="0">
      <selection activeCell="B15" sqref="B15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219" t="s">
        <v>73</v>
      </c>
      <c r="B1" s="220"/>
    </row>
    <row r="2" spans="1:2" s="84" customFormat="1" ht="19.5" customHeight="1" x14ac:dyDescent="0.2">
      <c r="A2" s="171" t="s">
        <v>66</v>
      </c>
      <c r="B2" s="172" t="s">
        <v>82</v>
      </c>
    </row>
    <row r="3" spans="1:2" ht="19.5" customHeight="1" x14ac:dyDescent="0.2">
      <c r="A3" s="121">
        <v>1</v>
      </c>
      <c r="B3" s="120">
        <v>33.629999999999995</v>
      </c>
    </row>
    <row r="4" spans="1:2" ht="19.5" customHeight="1" x14ac:dyDescent="0.2">
      <c r="A4" s="121">
        <v>2</v>
      </c>
      <c r="B4" s="120">
        <v>43.13</v>
      </c>
    </row>
    <row r="5" spans="1:2" ht="19.5" customHeight="1" x14ac:dyDescent="0.2">
      <c r="A5" s="121">
        <v>3</v>
      </c>
      <c r="B5" s="120">
        <v>48.68</v>
      </c>
    </row>
    <row r="6" spans="1:2" ht="19.5" customHeight="1" x14ac:dyDescent="0.2">
      <c r="A6" s="121">
        <v>4</v>
      </c>
      <c r="B6" s="120">
        <v>52.62</v>
      </c>
    </row>
    <row r="7" spans="1:2" ht="19.5" customHeight="1" x14ac:dyDescent="0.2">
      <c r="A7" s="121">
        <v>5</v>
      </c>
      <c r="B7" s="120">
        <v>55.679999999999993</v>
      </c>
    </row>
    <row r="8" spans="1:2" ht="19.5" customHeight="1" x14ac:dyDescent="0.2">
      <c r="A8" s="121">
        <v>6</v>
      </c>
      <c r="B8" s="120">
        <v>58.18</v>
      </c>
    </row>
    <row r="9" spans="1:2" ht="19.5" customHeight="1" x14ac:dyDescent="0.2">
      <c r="A9" s="121">
        <v>7</v>
      </c>
      <c r="B9" s="120">
        <v>60.29</v>
      </c>
    </row>
    <row r="10" spans="1:2" ht="19.5" customHeight="1" x14ac:dyDescent="0.2">
      <c r="A10" s="121">
        <v>8</v>
      </c>
      <c r="B10" s="120">
        <v>62.12</v>
      </c>
    </row>
    <row r="11" spans="1:2" ht="19.5" customHeight="1" x14ac:dyDescent="0.2">
      <c r="A11" s="121">
        <v>9</v>
      </c>
      <c r="B11" s="120">
        <v>63.73</v>
      </c>
    </row>
    <row r="12" spans="1:2" ht="19.5" customHeight="1" x14ac:dyDescent="0.2">
      <c r="A12" s="121">
        <v>10</v>
      </c>
      <c r="B12" s="120">
        <v>65.180000000000007</v>
      </c>
    </row>
    <row r="13" spans="1:2" ht="19.5" customHeight="1" x14ac:dyDescent="0.2">
      <c r="A13" s="121">
        <v>11</v>
      </c>
      <c r="B13" s="120">
        <v>66.47999999999999</v>
      </c>
    </row>
    <row r="14" spans="1:2" ht="19.5" customHeight="1" x14ac:dyDescent="0.2">
      <c r="A14" s="121">
        <v>12</v>
      </c>
      <c r="B14" s="120">
        <v>67.67</v>
      </c>
    </row>
    <row r="15" spans="1:2" ht="19.5" customHeight="1" x14ac:dyDescent="0.2">
      <c r="A15" s="121">
        <v>13</v>
      </c>
      <c r="B15" s="120">
        <v>68.77</v>
      </c>
    </row>
    <row r="16" spans="1:2" ht="19.5" customHeight="1" x14ac:dyDescent="0.2">
      <c r="A16" s="121">
        <v>14</v>
      </c>
      <c r="B16" s="120">
        <v>69.789999999999992</v>
      </c>
    </row>
    <row r="17" spans="1:2" ht="19.5" customHeight="1" thickBot="1" x14ac:dyDescent="0.25">
      <c r="A17" s="122">
        <v>15</v>
      </c>
      <c r="B17" s="123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1. Coleta Domiciliar</vt:lpstr>
      <vt:lpstr>2.Encargos Sociais</vt:lpstr>
      <vt:lpstr>4.BDI</vt:lpstr>
      <vt:lpstr>5. Depreciação</vt:lpstr>
      <vt:lpstr>AbaDeprec</vt:lpstr>
      <vt:lpstr>'1. Coleta Domiciliar'!Area_de_impressao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Computador</cp:lastModifiedBy>
  <cp:lastPrinted>2017-08-10T17:29:27Z</cp:lastPrinted>
  <dcterms:created xsi:type="dcterms:W3CDTF">2000-12-13T10:02:50Z</dcterms:created>
  <dcterms:modified xsi:type="dcterms:W3CDTF">2025-06-12T14:22:04Z</dcterms:modified>
</cp:coreProperties>
</file>